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weis\Box Sync\OSU\Classes\Winter 2021\CH 202\"/>
    </mc:Choice>
  </mc:AlternateContent>
  <xr:revisionPtr revIDLastSave="0" documentId="13_ncr:1_{9AD99CBF-B36D-485A-85AC-CF6A97480B31}" xr6:coauthVersionLast="47" xr6:coauthVersionMax="47" xr10:uidLastSave="{00000000-0000-0000-0000-000000000000}"/>
  <bookViews>
    <workbookView xWindow="-26700" yWindow="-4605" windowWidth="23880" windowHeight="14490" tabRatio="921" xr2:uid="{1C5572B1-7CFB-40C5-8A10-30D69C5D3562}"/>
  </bookViews>
  <sheets>
    <sheet name="Reference Tables" sheetId="5" r:id="rId1"/>
    <sheet name="Limiting Reactant Calculator" sheetId="1" r:id="rId2"/>
    <sheet name="Packing Efficiency and Density" sheetId="2" r:id="rId3"/>
    <sheet name="Heat Capcity" sheetId="3" r:id="rId4"/>
    <sheet name="Enthalpy and Entropy" sheetId="4" r:id="rId5"/>
    <sheet name="Free Energy" sheetId="6" r:id="rId6"/>
    <sheet name="Chemical Kinetics" sheetId="7" r:id="rId7"/>
    <sheet name="Chemical Equilibrium" sheetId="8" r:id="rId8"/>
    <sheet name="Solubility" sheetId="9" r:id="rId9"/>
    <sheet name="pH" sheetId="11" r:id="rId10"/>
    <sheet name="Redox" sheetId="10" r:id="rId11"/>
    <sheet name="Electrolysis" sheetId="12" r:id="rId12"/>
    <sheet name="Nuclear Chemistry" sheetId="13" r:id="rId13"/>
  </sheets>
  <definedNames>
    <definedName name="_C3H8">'Reference Tables'!$D$10</definedName>
    <definedName name="_C4H10">'Reference Tables'!$D$11</definedName>
    <definedName name="Ac">'Reference Tables'!$C$107</definedName>
    <definedName name="Ag">'Reference Tables'!$C$65</definedName>
    <definedName name="Al">'Reference Tables'!$C$31</definedName>
    <definedName name="ALEKS_Factor">Electrolysis!#REF!</definedName>
    <definedName name="Ar">'Reference Tables'!$C$36</definedName>
    <definedName name="As">'Reference Tables'!$C$51</definedName>
    <definedName name="At">'Reference Tables'!$C$103</definedName>
    <definedName name="atomic_mass_unit">'Reference Tables'!$X$30</definedName>
    <definedName name="Au">'Reference Tables'!$C$97</definedName>
    <definedName name="Avogadro_s_Number">'Reference Tables'!$X$21</definedName>
    <definedName name="B">'Reference Tables'!$C$23</definedName>
    <definedName name="Ba">'Reference Tables'!$C$74</definedName>
    <definedName name="Be">'Reference Tables'!$C$22</definedName>
    <definedName name="Bi">'Reference Tables'!$C$101</definedName>
    <definedName name="Boltzman_Constant">'Reference Tables'!$X$27</definedName>
    <definedName name="Br">'Reference Tables'!$C$53</definedName>
    <definedName name="Butane">'Reference Tables'!$D$11</definedName>
    <definedName name="C_">'Reference Tables'!$C$24</definedName>
    <definedName name="Ca">'Reference Tables'!$C$38</definedName>
    <definedName name="Carbon_Dioxide">'Reference Tables'!$D$9</definedName>
    <definedName name="Cd">'Reference Tables'!$C$66</definedName>
    <definedName name="Ce">'Reference Tables'!$C$76</definedName>
    <definedName name="Cl">'Reference Tables'!$C$35</definedName>
    <definedName name="Co">'Reference Tables'!$C$45</definedName>
    <definedName name="CO2_">'Reference Tables'!$D$9</definedName>
    <definedName name="Coulomb_constant">'Reference Tables'!$X$34</definedName>
    <definedName name="Cr">'Reference Tables'!$C$42</definedName>
    <definedName name="Cs">'Reference Tables'!$C$73</definedName>
    <definedName name="Cu">'Reference Tables'!$C$47</definedName>
    <definedName name="Dy">'Reference Tables'!$C$84</definedName>
    <definedName name="elementary_charge">'Reference Tables'!$X$28</definedName>
    <definedName name="Er">'Reference Tables'!$C$86</definedName>
    <definedName name="Eu">'Reference Tables'!$C$81</definedName>
    <definedName name="F">'Reference Tables'!$C$27</definedName>
    <definedName name="Fahrenheit">'Reference Tables'!$P$6</definedName>
    <definedName name="Faraday_constant">'Reference Tables'!$X$33</definedName>
    <definedName name="Fe">'Reference Tables'!$C$44</definedName>
    <definedName name="Fr">'Reference Tables'!$C$105</definedName>
    <definedName name="Ga">'Reference Tables'!$C$49</definedName>
    <definedName name="Gd">'Reference Tables'!$C$82</definedName>
    <definedName name="Ge">'Reference Tables'!$C$50</definedName>
    <definedName name="gravity">'Reference Tables'!$X$31</definedName>
    <definedName name="H">'Reference Tables'!$C$19</definedName>
    <definedName name="H2O">'Reference Tables'!$D$7</definedName>
    <definedName name="He">'Reference Tables'!$C$20</definedName>
    <definedName name="Hf">'Reference Tables'!$C$90</definedName>
    <definedName name="Hg">'Reference Tables'!$C$98</definedName>
    <definedName name="Ho">'Reference Tables'!$C$85</definedName>
    <definedName name="I">'Reference Tables'!$C$71</definedName>
    <definedName name="In">'Reference Tables'!$C$67</definedName>
    <definedName name="ion_product_of_water">'Reference Tables'!$X$32</definedName>
    <definedName name="Ir">'Reference Tables'!$C$95</definedName>
    <definedName name="K">'Reference Tables'!$C$37</definedName>
    <definedName name="Kelvin">'Reference Tables'!$P$5</definedName>
    <definedName name="Kr">'Reference Tables'!$C$54</definedName>
    <definedName name="La">'Reference Tables'!$C$75</definedName>
    <definedName name="Li">'Reference Tables'!$C$21</definedName>
    <definedName name="Lu">'Reference Tables'!$C$89</definedName>
    <definedName name="mass_of_electron">'Reference Tables'!$X$29</definedName>
    <definedName name="Mg">'Reference Tables'!$C$30</definedName>
    <definedName name="Mn">'Reference Tables'!$C$43</definedName>
    <definedName name="Mo">'Reference Tables'!$C$60</definedName>
    <definedName name="N">'Reference Tables'!$C$25</definedName>
    <definedName name="Na">'Reference Tables'!$C$29</definedName>
    <definedName name="Nb">'Reference Tables'!$C$59</definedName>
    <definedName name="Nd">'Reference Tables'!$C$78</definedName>
    <definedName name="Ne">'Reference Tables'!$C$28</definedName>
    <definedName name="Ni">'Reference Tables'!$C$46</definedName>
    <definedName name="Np">'Reference Tables'!$C$111</definedName>
    <definedName name="O">'Reference Tables'!$C$26</definedName>
    <definedName name="O2_">'Reference Tables'!$D$8</definedName>
    <definedName name="Os">'Reference Tables'!$C$94</definedName>
    <definedName name="Oxygen">'Reference Tables'!$D$8</definedName>
    <definedName name="P">'Reference Tables'!$C$33</definedName>
    <definedName name="Pa">'Reference Tables'!$C$109</definedName>
    <definedName name="Pb">'Reference Tables'!$C$100</definedName>
    <definedName name="Pd">'Reference Tables'!$C$64</definedName>
    <definedName name="permittivity_of_free_space">'Reference Tables'!$X$35</definedName>
    <definedName name="Planck_constant">'Reference Tables'!$X$25</definedName>
    <definedName name="Pm">'Reference Tables'!$C$79</definedName>
    <definedName name="Po">'Reference Tables'!$C$102</definedName>
    <definedName name="Pr">'Reference Tables'!$C$77</definedName>
    <definedName name="Propane">'Reference Tables'!$D$10</definedName>
    <definedName name="Pt">'Reference Tables'!$C$96</definedName>
    <definedName name="Pu">'Reference Tables'!$C$112</definedName>
    <definedName name="Ra">'Reference Tables'!$C$106</definedName>
    <definedName name="Rb">'Reference Tables'!$C$55</definedName>
    <definedName name="Re">'Reference Tables'!$C$93</definedName>
    <definedName name="Rh">'Reference Tables'!$C$63</definedName>
    <definedName name="Rn">'Reference Tables'!$C$104</definedName>
    <definedName name="Ru">'Reference Tables'!$C$62</definedName>
    <definedName name="Rydberg_energy">'Reference Tables'!$X$26</definedName>
    <definedName name="S">'Reference Tables'!$C$34</definedName>
    <definedName name="Sb">'Reference Tables'!$C$69</definedName>
    <definedName name="Sc">'Reference Tables'!$C$39</definedName>
    <definedName name="Se">'Reference Tables'!$C$52</definedName>
    <definedName name="Si">'Reference Tables'!$C$32</definedName>
    <definedName name="Sm">'Reference Tables'!$C$80</definedName>
    <definedName name="Sn">'Reference Tables'!$C$68</definedName>
    <definedName name="Speed_of_Light_in_a_Vacuum">'Reference Tables'!$X$24</definedName>
    <definedName name="Sr">'Reference Tables'!$C$56</definedName>
    <definedName name="standard_acceleration_due_to_Earths_gravity">'Reference Tables'!$X$31</definedName>
    <definedName name="Ta">'Reference Tables'!$C$91</definedName>
    <definedName name="Tb">'Reference Tables'!$C$83</definedName>
    <definedName name="Tc">'Reference Tables'!$C$61</definedName>
    <definedName name="Te">'Reference Tables'!$C$70</definedName>
    <definedName name="Th">'Reference Tables'!$C$108</definedName>
    <definedName name="Ti">'Reference Tables'!$C$40</definedName>
    <definedName name="Tl">'Reference Tables'!$C$99</definedName>
    <definedName name="Tm">'Reference Tables'!$C$87</definedName>
    <definedName name="U">'Reference Tables'!$C$110</definedName>
    <definedName name="Universal_Gas_R_for_atm_and_L">'Reference Tables'!$X$23</definedName>
    <definedName name="Universal_Gas_R_for_Pa_and_m3">'Reference Tables'!$X$22</definedName>
    <definedName name="V">'Reference Tables'!$C$41</definedName>
    <definedName name="W">'Reference Tables'!$C$92</definedName>
    <definedName name="Water">'Reference Tables'!$D$7</definedName>
    <definedName name="Xe">'Reference Tables'!$C$72</definedName>
    <definedName name="Y">'Reference Tables'!$C$57</definedName>
    <definedName name="Yb">'Reference Tables'!$C$88</definedName>
    <definedName name="Zn">'Reference Tables'!$C$48</definedName>
    <definedName name="Zr">'Reference Tables'!$C$58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1" l="1"/>
  <c r="M9" i="1"/>
  <c r="M14" i="1"/>
  <c r="J8" i="1"/>
  <c r="M8" i="1" s="1"/>
  <c r="J9" i="1"/>
  <c r="J39" i="8"/>
  <c r="J38" i="8"/>
  <c r="J37" i="8"/>
  <c r="G18" i="12"/>
  <c r="D17" i="12"/>
  <c r="M3" i="11"/>
  <c r="D25" i="11"/>
  <c r="D44" i="8"/>
  <c r="D82" i="8"/>
  <c r="I7" i="7"/>
  <c r="O76" i="4"/>
  <c r="H16" i="4"/>
  <c r="D21" i="9"/>
  <c r="D40" i="7"/>
  <c r="D44" i="7"/>
  <c r="G38" i="9"/>
  <c r="F33" i="9"/>
  <c r="G31" i="9"/>
  <c r="D8" i="11"/>
  <c r="D10" i="11"/>
  <c r="D9" i="11"/>
  <c r="D8" i="12"/>
  <c r="C16" i="4"/>
  <c r="D17" i="4"/>
  <c r="D19" i="4"/>
  <c r="D15" i="4"/>
  <c r="D29" i="2"/>
  <c r="D30" i="2"/>
  <c r="D21" i="2"/>
  <c r="F28" i="2"/>
  <c r="P26" i="2"/>
  <c r="P27" i="2"/>
  <c r="P25" i="2"/>
  <c r="N16" i="2"/>
  <c r="P21" i="2"/>
  <c r="P17" i="2"/>
  <c r="N21" i="2"/>
  <c r="N17" i="2"/>
  <c r="N68" i="7"/>
  <c r="O68" i="7"/>
  <c r="N60" i="7"/>
  <c r="O60" i="7"/>
  <c r="U33" i="3"/>
  <c r="Y27" i="3"/>
  <c r="Y32" i="3"/>
  <c r="Y24" i="3"/>
  <c r="Y20" i="3"/>
  <c r="Y22" i="3"/>
  <c r="Y25" i="3"/>
  <c r="D33" i="7"/>
  <c r="E17" i="7"/>
  <c r="D22" i="8"/>
  <c r="D21" i="8"/>
  <c r="D20" i="8"/>
  <c r="C41" i="6"/>
  <c r="C40" i="6"/>
  <c r="C39" i="6"/>
  <c r="C38" i="6"/>
  <c r="D40" i="4"/>
  <c r="D53" i="4"/>
  <c r="C76" i="4"/>
  <c r="G72" i="4"/>
  <c r="H74" i="4"/>
  <c r="F33" i="4"/>
  <c r="L61" i="4"/>
  <c r="L60" i="4"/>
  <c r="M55" i="4"/>
  <c r="N57" i="4"/>
  <c r="M52" i="4"/>
  <c r="N54" i="4"/>
  <c r="AG112" i="4"/>
  <c r="AF107" i="4"/>
  <c r="E26" i="11"/>
  <c r="G26" i="11"/>
  <c r="K27" i="12"/>
  <c r="D29" i="12"/>
  <c r="H26" i="12"/>
  <c r="A56" i="10"/>
  <c r="E25" i="12"/>
  <c r="H25" i="12"/>
  <c r="Q26" i="12"/>
  <c r="G16" i="12"/>
  <c r="G17" i="12"/>
  <c r="F14" i="13"/>
  <c r="F15" i="13"/>
  <c r="G17" i="13"/>
  <c r="F16" i="13"/>
  <c r="F17" i="13"/>
  <c r="F18" i="13"/>
  <c r="X35" i="5"/>
  <c r="X34" i="5"/>
  <c r="X32" i="5"/>
  <c r="X31" i="5"/>
  <c r="X30" i="5"/>
  <c r="X29" i="5"/>
  <c r="X28" i="5"/>
  <c r="X26" i="5"/>
  <c r="X25" i="5"/>
  <c r="X27" i="5"/>
  <c r="X21" i="5"/>
  <c r="G8" i="13"/>
  <c r="G10" i="13"/>
  <c r="F8" i="12"/>
  <c r="N117" i="5"/>
  <c r="T116" i="5"/>
  <c r="N64" i="5" a="1"/>
  <c r="N64" i="5"/>
  <c r="S63" i="5"/>
  <c r="G55" i="10"/>
  <c r="E48" i="10"/>
  <c r="T74" i="10" a="1"/>
  <c r="T74" i="10"/>
  <c r="E47" i="10"/>
  <c r="Y73" i="10"/>
  <c r="G23" i="11"/>
  <c r="F23" i="11"/>
  <c r="D23" i="11"/>
  <c r="G18" i="10"/>
  <c r="F18" i="10"/>
  <c r="E18" i="10"/>
  <c r="D18" i="10"/>
  <c r="E11" i="10"/>
  <c r="F11" i="10"/>
  <c r="G11" i="10"/>
  <c r="D11" i="10"/>
  <c r="E19" i="7"/>
  <c r="Y21" i="3"/>
  <c r="U28" i="3"/>
  <c r="Y29" i="3"/>
  <c r="Y30" i="3"/>
  <c r="Y33" i="3"/>
  <c r="E21" i="7"/>
  <c r="E8" i="11"/>
  <c r="E10" i="11"/>
  <c r="E12" i="11"/>
  <c r="F13" i="11"/>
  <c r="G13" i="11"/>
  <c r="G39" i="6"/>
  <c r="G37" i="6"/>
  <c r="N53" i="4"/>
  <c r="N60" i="4"/>
  <c r="K62" i="4"/>
  <c r="K63" i="4"/>
  <c r="K67" i="4"/>
  <c r="C47" i="4"/>
  <c r="N56" i="4"/>
  <c r="G33" i="12"/>
  <c r="G34" i="12"/>
  <c r="G19" i="12"/>
  <c r="G20" i="12"/>
  <c r="G19" i="13"/>
  <c r="G15" i="13"/>
  <c r="G14" i="13"/>
  <c r="E10" i="12"/>
  <c r="E12" i="12"/>
  <c r="E9" i="12"/>
  <c r="G10" i="12"/>
  <c r="G11" i="12"/>
  <c r="F12" i="12"/>
  <c r="D27" i="11"/>
  <c r="F27" i="11"/>
  <c r="D24" i="11"/>
  <c r="D21" i="10" a="1"/>
  <c r="D21" i="10"/>
  <c r="D14" i="10" a="1"/>
  <c r="D14" i="10"/>
  <c r="F50" i="8"/>
  <c r="F49" i="8"/>
  <c r="L50" i="8"/>
  <c r="L53" i="8"/>
  <c r="L49" i="8"/>
  <c r="L52" i="8"/>
  <c r="Y28" i="3"/>
  <c r="F42" i="6"/>
  <c r="F41" i="6"/>
  <c r="D55" i="8"/>
  <c r="C59" i="8"/>
  <c r="C26" i="4"/>
  <c r="C72" i="4"/>
  <c r="K66" i="4"/>
  <c r="C46" i="4"/>
  <c r="M67" i="4"/>
  <c r="C49" i="4"/>
  <c r="M66" i="4"/>
  <c r="C48" i="4"/>
  <c r="E11" i="12"/>
  <c r="F52" i="8"/>
  <c r="F53" i="8"/>
  <c r="J55" i="8"/>
  <c r="E65" i="8"/>
  <c r="F65" i="8"/>
  <c r="G65" i="8"/>
  <c r="D65" i="8"/>
  <c r="I44" i="9"/>
  <c r="E42" i="9"/>
  <c r="H23" i="8"/>
  <c r="I23" i="8"/>
  <c r="H22" i="8"/>
  <c r="I22" i="8"/>
  <c r="H20" i="8"/>
  <c r="I20" i="8"/>
  <c r="D31" i="7"/>
  <c r="C42" i="9" a="1"/>
  <c r="C42" i="9"/>
  <c r="C41" i="9" a="1"/>
  <c r="C41" i="9"/>
  <c r="E40" i="9" a="1"/>
  <c r="E40" i="9"/>
  <c r="C40" i="9"/>
  <c r="AA34" i="9"/>
  <c r="AA33" i="9"/>
  <c r="G32" i="9"/>
  <c r="G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G18" i="9"/>
  <c r="F18" i="9"/>
  <c r="AA19" i="9"/>
  <c r="AA18" i="9"/>
  <c r="AA17" i="9"/>
  <c r="F20" i="9"/>
  <c r="D20" i="9"/>
  <c r="D26" i="9"/>
  <c r="AA16" i="9"/>
  <c r="AA15" i="9"/>
  <c r="AA14" i="9"/>
  <c r="AA13" i="9"/>
  <c r="W11" i="4"/>
  <c r="V6" i="6"/>
  <c r="K1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H21" i="8"/>
  <c r="I21" i="8"/>
  <c r="O37" i="3"/>
  <c r="G8" i="3"/>
  <c r="H8" i="3"/>
  <c r="G88" i="8"/>
  <c r="E83" i="8"/>
  <c r="E84" i="8"/>
  <c r="F83" i="8"/>
  <c r="F84" i="8"/>
  <c r="G83" i="8"/>
  <c r="G84" i="8"/>
  <c r="D83" i="8"/>
  <c r="D84" i="8"/>
  <c r="E80" i="8"/>
  <c r="F80" i="8"/>
  <c r="G80" i="8"/>
  <c r="D80" i="8"/>
  <c r="F8" i="6"/>
  <c r="E64" i="8"/>
  <c r="F64" i="8"/>
  <c r="G64" i="8"/>
  <c r="D64" i="8"/>
  <c r="E37" i="8"/>
  <c r="E38" i="8"/>
  <c r="F37" i="8"/>
  <c r="F38" i="8"/>
  <c r="G37" i="8"/>
  <c r="G38" i="8"/>
  <c r="D37" i="8"/>
  <c r="D38" i="8"/>
  <c r="G7" i="3"/>
  <c r="D45" i="7"/>
  <c r="E20" i="7"/>
  <c r="F27" i="7"/>
  <c r="F31" i="7"/>
  <c r="E9" i="7"/>
  <c r="E12" i="7"/>
  <c r="K35" i="7"/>
  <c r="M35" i="7"/>
  <c r="N34" i="7"/>
  <c r="N35" i="7"/>
  <c r="N33" i="7"/>
  <c r="K34" i="7"/>
  <c r="M34" i="7"/>
  <c r="K33" i="7"/>
  <c r="M33" i="7"/>
  <c r="D23" i="9"/>
  <c r="D24" i="9"/>
  <c r="F24" i="9"/>
  <c r="J49" i="8"/>
  <c r="C27" i="4"/>
  <c r="C73" i="4"/>
  <c r="C28" i="4"/>
  <c r="C74" i="4"/>
  <c r="C25" i="4"/>
  <c r="C71" i="4"/>
  <c r="G75" i="4"/>
  <c r="E77" i="4"/>
  <c r="F29" i="7"/>
  <c r="H29" i="7"/>
  <c r="D19" i="9"/>
  <c r="E50" i="8"/>
  <c r="D50" i="8"/>
  <c r="E49" i="8"/>
  <c r="D49" i="8"/>
  <c r="K50" i="8"/>
  <c r="J50" i="8"/>
  <c r="E41" i="8"/>
  <c r="K49" i="8"/>
  <c r="G41" i="8"/>
  <c r="D41" i="8"/>
  <c r="F41" i="8"/>
  <c r="E41" i="9"/>
  <c r="J44" i="9"/>
  <c r="D32" i="7"/>
  <c r="F33" i="7"/>
  <c r="H33" i="7"/>
  <c r="D27" i="9"/>
  <c r="F27" i="9"/>
  <c r="F26" i="9"/>
  <c r="F10" i="8"/>
  <c r="F12" i="8"/>
  <c r="G38" i="7"/>
  <c r="G40" i="7"/>
  <c r="G42" i="7"/>
  <c r="G44" i="7"/>
  <c r="G45" i="7"/>
  <c r="D86" i="8"/>
  <c r="G86" i="8"/>
  <c r="F86" i="8"/>
  <c r="E86" i="8"/>
  <c r="E89" i="8"/>
  <c r="D89" i="8"/>
  <c r="F89" i="8"/>
  <c r="G89" i="8"/>
  <c r="J21" i="8"/>
  <c r="J23" i="8"/>
  <c r="M37" i="7"/>
  <c r="M38" i="7"/>
  <c r="G21" i="7"/>
  <c r="G22" i="7"/>
  <c r="D8" i="6"/>
  <c r="D10" i="6"/>
  <c r="F23" i="9"/>
  <c r="E71" i="4"/>
  <c r="E79" i="4"/>
  <c r="J52" i="8"/>
  <c r="D52" i="8"/>
  <c r="J53" i="8"/>
  <c r="D53" i="8"/>
  <c r="K53" i="8"/>
  <c r="E53" i="8"/>
  <c r="K52" i="8"/>
  <c r="E52" i="8"/>
  <c r="I42" i="9"/>
  <c r="J42" i="9"/>
  <c r="I41" i="9"/>
  <c r="J41" i="9"/>
  <c r="I43" i="9"/>
  <c r="H34" i="7"/>
  <c r="D90" i="8"/>
  <c r="F90" i="8"/>
  <c r="D42" i="8"/>
  <c r="E34" i="7"/>
  <c r="G34" i="7"/>
  <c r="M39" i="3"/>
  <c r="N37" i="3"/>
  <c r="F9" i="4"/>
  <c r="H24" i="3"/>
  <c r="O39" i="3"/>
  <c r="H22" i="3"/>
  <c r="H25" i="3"/>
  <c r="F30" i="6"/>
  <c r="F28" i="6"/>
  <c r="G20" i="6"/>
  <c r="G19" i="6"/>
  <c r="G15" i="6"/>
  <c r="G14" i="6"/>
  <c r="D20" i="2"/>
  <c r="D56" i="8"/>
  <c r="C60" i="8"/>
  <c r="J57" i="8"/>
  <c r="J56" i="8"/>
  <c r="D57" i="8"/>
  <c r="C61" i="8"/>
  <c r="N39" i="3"/>
  <c r="E32" i="6"/>
  <c r="G33" i="6"/>
  <c r="E33" i="6"/>
  <c r="G22" i="6"/>
  <c r="G17" i="6"/>
  <c r="F50" i="3"/>
  <c r="AC113" i="4"/>
  <c r="G59" i="4"/>
  <c r="F61" i="4"/>
  <c r="F62" i="4"/>
  <c r="E55" i="4"/>
  <c r="E53" i="4"/>
  <c r="E49" i="4"/>
  <c r="E48" i="4"/>
  <c r="E47" i="4"/>
  <c r="E46" i="4"/>
  <c r="AF113" i="4"/>
  <c r="F38" i="4"/>
  <c r="E26" i="4"/>
  <c r="E27" i="4"/>
  <c r="E28" i="4"/>
  <c r="E25" i="4"/>
  <c r="AF110" i="4"/>
  <c r="AC109" i="4"/>
  <c r="Q77" i="4"/>
  <c r="Q72" i="4"/>
  <c r="Q76" i="4"/>
  <c r="Q71" i="4"/>
  <c r="AD105" i="4"/>
  <c r="F61" i="8"/>
  <c r="D67" i="8"/>
  <c r="F59" i="8"/>
  <c r="F66" i="8"/>
  <c r="G23" i="6"/>
  <c r="G24" i="6"/>
  <c r="E56" i="4"/>
  <c r="E50" i="4"/>
  <c r="Q74" i="4"/>
  <c r="AD114" i="4"/>
  <c r="AD115" i="4"/>
  <c r="E29" i="4"/>
  <c r="F36" i="4"/>
  <c r="Q79" i="4"/>
  <c r="E44" i="3"/>
  <c r="E42" i="3"/>
  <c r="F31" i="3"/>
  <c r="E33" i="3"/>
  <c r="F34" i="3"/>
  <c r="E36" i="3"/>
  <c r="F37" i="3"/>
  <c r="E17" i="3"/>
  <c r="F15" i="3"/>
  <c r="L7" i="3"/>
  <c r="L9" i="3"/>
  <c r="O8" i="3"/>
  <c r="O6" i="3"/>
  <c r="O7" i="3"/>
  <c r="N9" i="3"/>
  <c r="N7" i="3"/>
  <c r="M6" i="3"/>
  <c r="M8" i="3"/>
  <c r="L8" i="3"/>
  <c r="N6" i="3"/>
  <c r="M9" i="3"/>
  <c r="D27" i="2"/>
  <c r="F30" i="2"/>
  <c r="D28" i="2"/>
  <c r="D19" i="2"/>
  <c r="J6" i="2"/>
  <c r="N6" i="2"/>
  <c r="Q6" i="2"/>
  <c r="J7" i="2"/>
  <c r="N7" i="2"/>
  <c r="Q7" i="2"/>
  <c r="J8" i="2"/>
  <c r="N8" i="2"/>
  <c r="Q8" i="2"/>
  <c r="C13" i="2"/>
  <c r="F20" i="2"/>
  <c r="F22" i="2"/>
  <c r="F39" i="4"/>
  <c r="G40" i="4"/>
  <c r="G41" i="4"/>
  <c r="G67" i="8"/>
  <c r="E67" i="8"/>
  <c r="F67" i="8"/>
  <c r="E66" i="8"/>
  <c r="D66" i="8"/>
  <c r="G66" i="8"/>
  <c r="E57" i="4"/>
  <c r="F65" i="4"/>
  <c r="F66" i="4"/>
  <c r="Q80" i="4"/>
  <c r="S6" i="2"/>
  <c r="S7" i="2"/>
  <c r="S8" i="2"/>
  <c r="D69" i="8"/>
  <c r="F69" i="8"/>
  <c r="O8" i="1" l="1"/>
  <c r="Q8" i="1" s="1"/>
  <c r="O9" i="1"/>
  <c r="Q9" i="1" s="1"/>
  <c r="S9" i="1"/>
  <c r="U9" i="1" s="1"/>
  <c r="U8" i="1"/>
  <c r="B16" i="1" l="1"/>
  <c r="C14" i="1" s="1"/>
  <c r="E14" i="1"/>
  <c r="A16" i="1"/>
  <c r="A14" i="1"/>
  <c r="O14" i="1" l="1"/>
  <c r="Q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tc={3EC2230D-C629-4936-8627-0F19232A7624}</author>
  </authors>
  <commentList>
    <comment ref="D26" authorId="0" shapeId="0" xr:uid="{3EC2230D-C629-4936-8627-0F19232A7624}">
      <text>
        <t>[Threaded comment]
Your version of Excel allows you to read this threaded comment; however, any edits to it will get removed if the file is opened in a newer version of Excel. Learn more: https://go.microsoft.com/fwlink/?linkid=870924
Comment:
    Keep an eye on this formula, it might not be correct in all situations.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<sst xmlns="http://schemas.openxmlformats.org/spreadsheetml/2006/main" count="3813" uniqueCount="1417">
  <si>
    <t>Limiting Reactant Calculator</t>
  </si>
  <si>
    <t>A</t>
  </si>
  <si>
    <t>B</t>
  </si>
  <si>
    <t>Final Moles Option A</t>
  </si>
  <si>
    <t>Final Moles Option B</t>
  </si>
  <si>
    <t>C</t>
  </si>
  <si>
    <t>D</t>
  </si>
  <si>
    <t>Assigned Variable</t>
  </si>
  <si>
    <t>Reactant Name</t>
  </si>
  <si>
    <t>Initial Moles</t>
  </si>
  <si>
    <t>Moles Consumed Option A</t>
  </si>
  <si>
    <t>Moles Consumed Option B</t>
  </si>
  <si>
    <t>Moles Consumed of Limiting Reactant</t>
  </si>
  <si>
    <t>Target Product Stoichiometric Coefficient</t>
  </si>
  <si>
    <t>Moles of Product Produced</t>
  </si>
  <si>
    <t>Molar Mass of Product</t>
  </si>
  <si>
    <t>Initial Mass</t>
  </si>
  <si>
    <t>Grams of Product</t>
  </si>
  <si>
    <t>Molar Mass Grams/Mol</t>
  </si>
  <si>
    <t>The limiting reactant is the one that gets used up first and therefore returns a negative number when  subtracted from a molecule containing less moles.</t>
  </si>
  <si>
    <t>Target Product Name</t>
  </si>
  <si>
    <r>
      <t>x(4/3)πr</t>
    </r>
    <r>
      <rPr>
        <vertAlign val="superscript"/>
        <sz val="11"/>
        <color theme="1"/>
        <rFont val="Calibri"/>
        <family val="2"/>
        <scheme val="minor"/>
      </rPr>
      <t>3</t>
    </r>
  </si>
  <si>
    <t>radius</t>
  </si>
  <si>
    <t>number of atoms</t>
  </si>
  <si>
    <t>n/a</t>
  </si>
  <si>
    <t>sc</t>
  </si>
  <si>
    <t>bcc</t>
  </si>
  <si>
    <t>fcc</t>
  </si>
  <si>
    <t>Volume of Unit Cell</t>
  </si>
  <si>
    <t>Edge Length of Unit Cell</t>
  </si>
  <si>
    <t># of complete atoms perunit cell</t>
  </si>
  <si>
    <t># of corner atoms</t>
  </si>
  <si>
    <t># body-center atoms</t>
  </si>
  <si>
    <t># face-center atoms</t>
  </si>
  <si>
    <t>Packing Type</t>
  </si>
  <si>
    <t>Given:</t>
  </si>
  <si>
    <t>Find:</t>
  </si>
  <si>
    <t>Input</t>
  </si>
  <si>
    <t>Density in (g/cm³)</t>
  </si>
  <si>
    <t>Atomic Mass (Da)</t>
  </si>
  <si>
    <t>(a) Edge Length (in cm)</t>
  </si>
  <si>
    <t>(n) # of Complete Atoms Per Unit Cell</t>
  </si>
  <si>
    <r>
      <t>(N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 Avogadro's Number</t>
    </r>
  </si>
  <si>
    <t>(M) Atomic Mass (Da)</t>
  </si>
  <si>
    <t>(D) Density (g/cm³)</t>
  </si>
  <si>
    <r>
      <t>Find Molar Mass Based on Density       M = (D*a³*N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)/n</t>
    </r>
  </si>
  <si>
    <r>
      <t>Find Density Based on Atomic Mass       D = (n*M)/(a³*N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)</t>
    </r>
  </si>
  <si>
    <t>Common Molar Masses</t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</si>
  <si>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</si>
  <si>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</si>
  <si>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</si>
  <si>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t>Blue denotes starting inputs</t>
  </si>
  <si>
    <t>H</t>
  </si>
  <si>
    <t>O</t>
  </si>
  <si>
    <t>Limiting Reactant Name</t>
  </si>
  <si>
    <t>Input:</t>
  </si>
  <si>
    <t>Change in Temp (ΔT)</t>
  </si>
  <si>
    <t>cal</t>
  </si>
  <si>
    <t>J</t>
  </si>
  <si>
    <t>kJ</t>
  </si>
  <si>
    <t>Cal (kcal)</t>
  </si>
  <si>
    <t>Starting Temp (˚C)</t>
  </si>
  <si>
    <t>Example of a Heating Curve:</t>
  </si>
  <si>
    <t>Final Temp (˚C)</t>
  </si>
  <si>
    <t>Calorimetry (Water)</t>
  </si>
  <si>
    <t>1 cal = 4.184 J;  1 J = .239006 cal</t>
  </si>
  <si>
    <t>Step 1: Calibration</t>
  </si>
  <si>
    <t>Step 2: Determination of Heat Evolved by Substance</t>
  </si>
  <si>
    <t>Step 3: Calculation of Energy Density of Substance</t>
  </si>
  <si>
    <t>Mass of Substance (in g)</t>
  </si>
  <si>
    <t>Energy Density (in kJ/g)</t>
  </si>
  <si>
    <t>Packing Efficiency</t>
  </si>
  <si>
    <t>Substance 1 mass (g)</t>
  </si>
  <si>
    <t>Substance 1 temp (˚C)</t>
  </si>
  <si>
    <t>Substance 2 temp (˚C)</t>
  </si>
  <si>
    <t>Equilibrium Temperature (Mixing Formula Aa+Bb=Cc)</t>
  </si>
  <si>
    <t>Product Temp (˚C)</t>
  </si>
  <si>
    <t>Product Mass (g)</t>
  </si>
  <si>
    <t>Substance 2 mass (g)</t>
  </si>
  <si>
    <t>Substance 1 Specific Heat Capacity (J/g ˚C)</t>
  </si>
  <si>
    <t>Substance 2 Specific Heat Capacity (J/g ˚C)</t>
  </si>
  <si>
    <t>Equilibrium Temp</t>
  </si>
  <si>
    <t xml:space="preserve">Total Volume Occupied by Atoms </t>
  </si>
  <si>
    <t>Moles of Intermediate (from 2nd Step)</t>
  </si>
  <si>
    <t>Moles of Target Molecule (Product)</t>
  </si>
  <si>
    <t>Moles of Intermediate (from 1st Step)</t>
  </si>
  <si>
    <t>Product 1</t>
  </si>
  <si>
    <t>Product 2</t>
  </si>
  <si>
    <t>Reactant 1</t>
  </si>
  <si>
    <r>
      <t xml:space="preserve">First Step Reaction Enthalpy </t>
    </r>
    <r>
      <rPr>
        <i/>
        <sz val="11"/>
        <color theme="1"/>
        <rFont val="Calibri"/>
        <family val="2"/>
        <scheme val="minor"/>
      </rPr>
      <t>ΔH</t>
    </r>
  </si>
  <si>
    <r>
      <t xml:space="preserve">Second Step Reaction Enthalpy </t>
    </r>
    <r>
      <rPr>
        <i/>
        <sz val="11"/>
        <color theme="1"/>
        <rFont val="Calibri"/>
        <family val="2"/>
        <scheme val="minor"/>
      </rPr>
      <t>ΔH</t>
    </r>
  </si>
  <si>
    <r>
      <t xml:space="preserve">Net Reaction Enthalpy </t>
    </r>
    <r>
      <rPr>
        <i/>
        <sz val="11"/>
        <color theme="1"/>
        <rFont val="Calibri"/>
        <family val="2"/>
        <scheme val="minor"/>
      </rPr>
      <t>ΔH</t>
    </r>
  </si>
  <si>
    <r>
      <t>Equilibrium Temperature (</t>
    </r>
    <r>
      <rPr>
        <b/>
        <i/>
        <sz val="11"/>
        <color theme="1"/>
        <rFont val="Calibri"/>
        <family val="2"/>
        <scheme val="minor"/>
      </rPr>
      <t>ΔE=m*c*ΔT</t>
    </r>
    <r>
      <rPr>
        <b/>
        <sz val="11"/>
        <color theme="1"/>
        <rFont val="Calibri"/>
        <family val="2"/>
        <scheme val="minor"/>
      </rPr>
      <t xml:space="preserve"> and </t>
    </r>
    <r>
      <rPr>
        <b/>
        <i/>
        <sz val="11"/>
        <color theme="1"/>
        <rFont val="Calibri"/>
        <family val="2"/>
        <scheme val="minor"/>
      </rPr>
      <t>ΔE</t>
    </r>
    <r>
      <rPr>
        <b/>
        <i/>
        <vertAlign val="subscript"/>
        <sz val="11"/>
        <color theme="1"/>
        <rFont val="Calibri"/>
        <family val="2"/>
        <scheme val="minor"/>
      </rPr>
      <t>1</t>
    </r>
    <r>
      <rPr>
        <b/>
        <i/>
        <sz val="11"/>
        <color theme="1"/>
        <rFont val="Calibri"/>
        <family val="2"/>
        <scheme val="minor"/>
      </rPr>
      <t>=-ΔE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</si>
  <si>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 xml:space="preserve"> (</t>
    </r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) Mass (in g)</t>
    </r>
  </si>
  <si>
    <r>
      <t>Change in Temp (</t>
    </r>
    <r>
      <rPr>
        <i/>
        <sz val="11"/>
        <color rgb="FF0C0C0C"/>
        <rFont val="Calibri"/>
        <family val="2"/>
        <scheme val="minor"/>
      </rPr>
      <t>ΔT</t>
    </r>
    <r>
      <rPr>
        <sz val="11"/>
        <color rgb="FF0C0C0C"/>
        <rFont val="Calibri"/>
        <family val="2"/>
        <scheme val="minor"/>
      </rPr>
      <t>)</t>
    </r>
  </si>
  <si>
    <r>
      <t>(</t>
    </r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) Specific Heat Capacity (in J/g </t>
    </r>
    <r>
      <rPr>
        <sz val="11"/>
        <color theme="1"/>
        <rFont val="Calibri"/>
        <family val="2"/>
      </rPr>
      <t>˚C)</t>
    </r>
  </si>
  <si>
    <r>
      <t>(</t>
    </r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 Specific Heat Capacity (in J/g ˚C)</t>
    </r>
  </si>
  <si>
    <r>
      <rPr>
        <i/>
        <sz val="11"/>
        <color theme="1"/>
        <rFont val="Calibri"/>
        <family val="2"/>
        <scheme val="minor"/>
      </rPr>
      <t>C</t>
    </r>
    <r>
      <rPr>
        <i/>
        <vertAlign val="subscript"/>
        <sz val="11"/>
        <color theme="1"/>
        <rFont val="Calibri"/>
        <family val="2"/>
        <scheme val="minor"/>
      </rPr>
      <t>calorimeter</t>
    </r>
    <r>
      <rPr>
        <sz val="11"/>
        <color theme="1"/>
        <rFont val="Calibri"/>
        <family val="2"/>
        <scheme val="minor"/>
      </rPr>
      <t xml:space="preserve"> (in J/g ˚C)</t>
    </r>
  </si>
  <si>
    <t>Combustion Thermochemistry Problems (Camping Water Example)</t>
  </si>
  <si>
    <t>Mass of Fuel Canister</t>
  </si>
  <si>
    <t>Net Reaction Enthalpy w/ Hess's Law</t>
  </si>
  <si>
    <t>Enthalpy and Stoichimometry</t>
  </si>
  <si>
    <t>g of Substance</t>
  </si>
  <si>
    <t>Da of Substance</t>
  </si>
  <si>
    <t>Moles of Substance (Stoic Coefficient)</t>
  </si>
  <si>
    <r>
      <t>∆H</t>
    </r>
    <r>
      <rPr>
        <vertAlign val="subscript"/>
        <sz val="11"/>
        <color theme="1"/>
        <rFont val="Calibri"/>
        <family val="2"/>
        <scheme val="minor"/>
      </rPr>
      <t>rxn</t>
    </r>
    <r>
      <rPr>
        <sz val="11"/>
        <color theme="1"/>
        <rFont val="Calibri"/>
        <family val="2"/>
        <scheme val="minor"/>
      </rPr>
      <t xml:space="preserve"> kJ</t>
    </r>
  </si>
  <si>
    <r>
      <t>Heat Released</t>
    </r>
    <r>
      <rPr>
        <vertAlign val="subscript"/>
        <sz val="11"/>
        <color theme="1"/>
        <rFont val="Calibri"/>
        <family val="2"/>
        <scheme val="minor"/>
      </rPr>
      <t>substance</t>
    </r>
    <r>
      <rPr>
        <sz val="11"/>
        <color theme="1"/>
        <rFont val="Calibri"/>
        <family val="2"/>
        <scheme val="minor"/>
      </rPr>
      <t xml:space="preserve"> kJ</t>
    </r>
  </si>
  <si>
    <t>Spontaneous Change</t>
  </si>
  <si>
    <t>Moles Products</t>
  </si>
  <si>
    <t>Moles Reactants</t>
  </si>
  <si>
    <t>Reactant Names</t>
  </si>
  <si>
    <t>Product Names</t>
  </si>
  <si>
    <t>ΔS⁰ Reactants (kJ)</t>
  </si>
  <si>
    <t>ΔS⁰ Products (kJ)</t>
  </si>
  <si>
    <r>
      <t>Standard Reaction Entropy ΔS⁰ = ΔS⁰</t>
    </r>
    <r>
      <rPr>
        <b/>
        <vertAlign val="subscript"/>
        <sz val="11"/>
        <color theme="1"/>
        <rFont val="Calibri"/>
        <family val="2"/>
        <scheme val="minor"/>
      </rPr>
      <t>PRODUCTS</t>
    </r>
    <r>
      <rPr>
        <b/>
        <sz val="11"/>
        <color theme="1"/>
        <rFont val="Calibri"/>
        <family val="2"/>
        <scheme val="minor"/>
      </rPr>
      <t xml:space="preserve"> - ΔS⁰</t>
    </r>
    <r>
      <rPr>
        <b/>
        <vertAlign val="subscript"/>
        <sz val="11"/>
        <color theme="1"/>
        <rFont val="Calibri"/>
        <family val="2"/>
        <scheme val="minor"/>
      </rPr>
      <t>REACTANTS</t>
    </r>
  </si>
  <si>
    <t>Totals  (kJ/Mol)</t>
  </si>
  <si>
    <t>Totals (kJ/Mol)</t>
  </si>
  <si>
    <t>Entropy, Volume, and Temperature</t>
  </si>
  <si>
    <r>
      <t>Δ</t>
    </r>
    <r>
      <rPr>
        <i/>
        <sz val="11"/>
        <color rgb="FF0C0C0C"/>
        <rFont val="Calibri"/>
        <family val="2"/>
        <scheme val="minor"/>
      </rPr>
      <t>S</t>
    </r>
    <r>
      <rPr>
        <vertAlign val="subscript"/>
        <sz val="11"/>
        <color rgb="FF0C0C0C"/>
        <rFont val="Calibri"/>
        <family val="2"/>
        <scheme val="minor"/>
      </rPr>
      <t>UNIV</t>
    </r>
    <r>
      <rPr>
        <sz val="11"/>
        <color rgb="FF0C0C0C"/>
        <rFont val="Calibri"/>
        <family val="2"/>
        <scheme val="minor"/>
      </rPr>
      <t xml:space="preserve"> = Δ</t>
    </r>
    <r>
      <rPr>
        <i/>
        <sz val="11"/>
        <color rgb="FF0C0C0C"/>
        <rFont val="Calibri"/>
        <family val="2"/>
        <scheme val="minor"/>
      </rPr>
      <t>S</t>
    </r>
    <r>
      <rPr>
        <sz val="11"/>
        <color rgb="FF0C0C0C"/>
        <rFont val="Calibri"/>
        <family val="2"/>
        <scheme val="minor"/>
      </rPr>
      <t xml:space="preserve"> + Δ</t>
    </r>
    <r>
      <rPr>
        <i/>
        <sz val="11"/>
        <color rgb="FF0C0C0C"/>
        <rFont val="Calibri"/>
        <family val="2"/>
        <scheme val="minor"/>
      </rPr>
      <t>S</t>
    </r>
    <r>
      <rPr>
        <vertAlign val="subscript"/>
        <sz val="11"/>
        <color rgb="FF0C0C0C"/>
        <rFont val="Calibri"/>
        <family val="2"/>
        <scheme val="minor"/>
      </rPr>
      <t>SURR</t>
    </r>
  </si>
  <si>
    <r>
      <t>If heat released from system to surroundings Δ</t>
    </r>
    <r>
      <rPr>
        <i/>
        <sz val="11"/>
        <color theme="1"/>
        <rFont val="Calibri"/>
        <family val="2"/>
        <scheme val="minor"/>
      </rPr>
      <t>S</t>
    </r>
    <r>
      <rPr>
        <vertAlign val="subscript"/>
        <sz val="11"/>
        <color theme="1"/>
        <rFont val="Calibri"/>
        <family val="2"/>
        <scheme val="minor"/>
      </rPr>
      <t>SURR</t>
    </r>
    <r>
      <rPr>
        <sz val="11"/>
        <color theme="1"/>
        <rFont val="Calibri"/>
        <family val="2"/>
        <scheme val="minor"/>
      </rPr>
      <t xml:space="preserve"> &gt; 0 </t>
    </r>
  </si>
  <si>
    <r>
      <t>If heat absorbed Δ</t>
    </r>
    <r>
      <rPr>
        <i/>
        <sz val="11"/>
        <color theme="1"/>
        <rFont val="Calibri"/>
        <family val="2"/>
        <scheme val="minor"/>
      </rPr>
      <t>S</t>
    </r>
    <r>
      <rPr>
        <vertAlign val="subscript"/>
        <sz val="11"/>
        <color theme="1"/>
        <rFont val="Calibri"/>
        <family val="2"/>
        <scheme val="minor"/>
      </rPr>
      <t>SURR</t>
    </r>
    <r>
      <rPr>
        <sz val="11"/>
        <color theme="1"/>
        <rFont val="Calibri"/>
        <family val="2"/>
        <scheme val="minor"/>
      </rPr>
      <t xml:space="preserve"> &lt; 0</t>
    </r>
  </si>
  <si>
    <r>
      <t>Δ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0</t>
    </r>
  </si>
  <si>
    <r>
      <t>Δ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&lt; 0     cool</t>
    </r>
  </si>
  <si>
    <r>
      <t>Δ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&gt; 0       heat</t>
    </r>
  </si>
  <si>
    <r>
      <t>Δ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&lt; 0     compress</t>
    </r>
  </si>
  <si>
    <r>
      <t>Δ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= 0</t>
    </r>
  </si>
  <si>
    <r>
      <t>Δ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&gt; 0       expand</t>
    </r>
  </si>
  <si>
    <r>
      <t>Δ</t>
    </r>
    <r>
      <rPr>
        <i/>
        <sz val="11"/>
        <color theme="1"/>
        <rFont val="Calibri"/>
        <family val="2"/>
        <scheme val="minor"/>
      </rPr>
      <t>S &lt; 0</t>
    </r>
  </si>
  <si>
    <r>
      <t>Δ</t>
    </r>
    <r>
      <rPr>
        <i/>
        <sz val="11"/>
        <color theme="1"/>
        <rFont val="Calibri"/>
        <family val="2"/>
        <scheme val="minor"/>
      </rPr>
      <t>S &gt; 0</t>
    </r>
  </si>
  <si>
    <r>
      <t>Δ</t>
    </r>
    <r>
      <rPr>
        <i/>
        <sz val="11"/>
        <color theme="1"/>
        <rFont val="Calibri"/>
        <family val="2"/>
        <scheme val="minor"/>
      </rPr>
      <t>S = 0</t>
    </r>
  </si>
  <si>
    <t>Not Enough Info.</t>
  </si>
  <si>
    <r>
      <t>∆H</t>
    </r>
    <r>
      <rPr>
        <i/>
        <vertAlign val="subscript"/>
        <sz val="11"/>
        <color theme="1"/>
        <rFont val="Calibri"/>
        <family val="2"/>
      </rPr>
      <t>f</t>
    </r>
    <r>
      <rPr>
        <i/>
        <sz val="11"/>
        <color theme="1"/>
        <rFont val="Calibri"/>
        <family val="2"/>
      </rPr>
      <t>˚</t>
    </r>
  </si>
  <si>
    <t>Reverse Thermochemistry Problem</t>
  </si>
  <si>
    <t>Reactant 2</t>
  </si>
  <si>
    <t>Name</t>
  </si>
  <si>
    <r>
      <t>∆H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˚</t>
    </r>
  </si>
  <si>
    <t>Reactant 3</t>
  </si>
  <si>
    <t>Product 3</t>
  </si>
  <si>
    <t>C4H6</t>
  </si>
  <si>
    <t>Sum</t>
  </si>
  <si>
    <r>
      <t>Hess's Law ∆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= ∆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˚ </t>
    </r>
    <r>
      <rPr>
        <vertAlign val="subscript"/>
        <sz val="11"/>
        <color theme="1"/>
        <rFont val="Calibri"/>
        <family val="2"/>
        <scheme val="minor"/>
      </rPr>
      <t>Products</t>
    </r>
    <r>
      <rPr>
        <sz val="11"/>
        <color theme="1"/>
        <rFont val="Calibri"/>
        <family val="2"/>
        <scheme val="minor"/>
      </rPr>
      <t xml:space="preserve"> - ∆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˚ </t>
    </r>
    <r>
      <rPr>
        <vertAlign val="subscript"/>
        <sz val="11"/>
        <color theme="1"/>
        <rFont val="Calibri"/>
        <family val="2"/>
        <scheme val="minor"/>
      </rPr>
      <t>Reactants</t>
    </r>
  </si>
  <si>
    <r>
      <t>∆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˚</t>
    </r>
    <r>
      <rPr>
        <vertAlign val="subscript"/>
        <sz val="11"/>
        <color theme="1"/>
        <rFont val="Calibri"/>
        <family val="2"/>
        <scheme val="minor"/>
      </rPr>
      <t>R1</t>
    </r>
    <r>
      <rPr>
        <sz val="11"/>
        <color theme="1"/>
        <rFont val="Calibri"/>
        <family val="2"/>
        <scheme val="minor"/>
      </rPr>
      <t xml:space="preserve"> = (∆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˚</t>
    </r>
    <r>
      <rPr>
        <vertAlign val="subscript"/>
        <sz val="11"/>
        <color theme="1"/>
        <rFont val="Calibri"/>
        <family val="2"/>
        <scheme val="minor"/>
      </rPr>
      <t>Products</t>
    </r>
    <r>
      <rPr>
        <sz val="11"/>
        <color theme="1"/>
        <rFont val="Calibri"/>
        <family val="2"/>
        <scheme val="minor"/>
      </rPr>
      <t xml:space="preserve"> - ∆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)/Moles</t>
    </r>
    <r>
      <rPr>
        <vertAlign val="subscript"/>
        <sz val="11"/>
        <color theme="1"/>
        <rFont val="Calibri"/>
        <family val="2"/>
        <scheme val="minor"/>
      </rPr>
      <t>R1</t>
    </r>
  </si>
  <si>
    <r>
      <t>∆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</si>
  <si>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c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</si>
  <si>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From the Calorimeter </t>
    </r>
    <r>
      <rPr>
        <i/>
        <sz val="11"/>
        <color theme="1"/>
        <rFont val="Calibri"/>
        <family val="2"/>
        <scheme val="minor"/>
      </rPr>
      <t>Q = m*c*</t>
    </r>
    <r>
      <rPr>
        <sz val="11"/>
        <color theme="1"/>
        <rFont val="Calibri"/>
        <family val="2"/>
        <scheme val="minor"/>
      </rPr>
      <t>∆</t>
    </r>
    <r>
      <rPr>
        <i/>
        <sz val="11"/>
        <color theme="1"/>
        <rFont val="Calibri"/>
        <family val="2"/>
        <scheme val="minor"/>
      </rPr>
      <t>T</t>
    </r>
  </si>
  <si>
    <r>
      <t>g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</si>
  <si>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t>Mass to Mole Converstion Reactant 1</t>
  </si>
  <si>
    <t>g of R1</t>
  </si>
  <si>
    <t>g/mol R1</t>
  </si>
  <si>
    <t>mol R1</t>
  </si>
  <si>
    <t>Stoich #</t>
  </si>
  <si>
    <t>Butane</t>
  </si>
  <si>
    <t>Totals</t>
  </si>
  <si>
    <t>Molar Mass of Reactant 1</t>
  </si>
  <si>
    <t>∆T of Water</t>
  </si>
  <si>
    <t>Number of Days</t>
  </si>
  <si>
    <t>Heat Capcity of Water in J</t>
  </si>
  <si>
    <t xml:space="preserve">Step 3: How Many Time Reaction Needs To Run </t>
  </si>
  <si>
    <t>Step 4: Convert it to mass</t>
  </si>
  <si>
    <t>Moles Needed (Reaction Runs / Moles Consumed)</t>
  </si>
  <si>
    <t>Moles--&gt; Grams</t>
  </si>
  <si>
    <t>Canisters Needed</t>
  </si>
  <si>
    <t>O2</t>
  </si>
  <si>
    <t>Combustion Thermochemistry Problems (Balloons Example)</t>
  </si>
  <si>
    <t>Propane</t>
  </si>
  <si>
    <t>Step 2:Convert kg to mol</t>
  </si>
  <si>
    <t>kg of Reactant 1</t>
  </si>
  <si>
    <t>Molar Mass Reactant 1</t>
  </si>
  <si>
    <r>
      <t>C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8</t>
    </r>
  </si>
  <si>
    <t>mol of Reactant 1</t>
  </si>
  <si>
    <t>Step 4: Find Heat Produced</t>
  </si>
  <si>
    <r>
      <t>Heat Produced (Times Rxn Mus Run * |∆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|)</t>
    </r>
  </si>
  <si>
    <t>Radius of Balloons (in cm)</t>
  </si>
  <si>
    <r>
      <t>Volume in 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</si>
  <si>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Density of Air kg/m</t>
    </r>
    <r>
      <rPr>
        <vertAlign val="superscript"/>
        <sz val="11"/>
        <color theme="1"/>
        <rFont val="Calibri"/>
        <family val="2"/>
        <scheme val="minor"/>
      </rPr>
      <t>3</t>
    </r>
  </si>
  <si>
    <t>Mass of Air m = V*D</t>
  </si>
  <si>
    <t>Heat Needed</t>
  </si>
  <si>
    <r>
      <rPr>
        <i/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AIR</t>
    </r>
    <r>
      <rPr>
        <sz val="11"/>
        <color theme="1"/>
        <rFont val="Calibri"/>
        <family val="2"/>
        <scheme val="minor"/>
      </rPr>
      <t xml:space="preserve">    J /g * ˚C</t>
    </r>
  </si>
  <si>
    <t>Step 7: Find Maximum Number of Balloons</t>
  </si>
  <si>
    <t>Heat Available / Heat Needed</t>
  </si>
  <si>
    <r>
      <t>C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10</t>
    </r>
  </si>
  <si>
    <t>propane</t>
  </si>
  <si>
    <t>kg of Water to Heat</t>
  </si>
  <si>
    <t>kJ/mol</t>
  </si>
  <si>
    <r>
      <t>∆</t>
    </r>
    <r>
      <rPr>
        <i/>
        <sz val="11"/>
        <color theme="1"/>
        <rFont val="Calibri"/>
        <family val="2"/>
        <scheme val="minor"/>
      </rPr>
      <t>T</t>
    </r>
  </si>
  <si>
    <t>Element</t>
  </si>
  <si>
    <t>Molar Mass</t>
  </si>
  <si>
    <t>Position</t>
  </si>
  <si>
    <t>Entropy and Structure</t>
  </si>
  <si>
    <t>More Structure = Less Entropy</t>
  </si>
  <si>
    <t>Solution = More Entropy than Seperate Solvent and Solute (Pure Substances)</t>
  </si>
  <si>
    <t>2nd Law of Thermodynamics: changes are spontaneous only when the entropy of the universe (system + surroundings) increases</t>
  </si>
  <si>
    <t>Higher Number of Atoms = More Entropy</t>
  </si>
  <si>
    <t>Water</t>
  </si>
  <si>
    <t>Oxygen</t>
  </si>
  <si>
    <t>Carbon Dioxide</t>
  </si>
  <si>
    <t>He</t>
  </si>
  <si>
    <t>Li</t>
  </si>
  <si>
    <t>Be</t>
  </si>
  <si>
    <t>N</t>
  </si>
  <si>
    <t>F</t>
  </si>
  <si>
    <t>Ne</t>
  </si>
  <si>
    <t>Na</t>
  </si>
  <si>
    <t>Mg</t>
  </si>
  <si>
    <t>Al</t>
  </si>
  <si>
    <t>Si</t>
  </si>
  <si>
    <t>P</t>
  </si>
  <si>
    <t>S</t>
  </si>
  <si>
    <t>Cl</t>
  </si>
  <si>
    <t>Ar</t>
  </si>
  <si>
    <t>K</t>
  </si>
  <si>
    <t>Ca</t>
  </si>
  <si>
    <t>Sc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</si>
  <si>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</si>
  <si>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</si>
  <si>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</si>
  <si>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</si>
  <si>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</si>
  <si>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</si>
  <si>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</si>
  <si>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</si>
  <si>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</si>
  <si>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</si>
  <si>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</si>
  <si>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</si>
  <si>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</si>
  <si>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Br</t>
  </si>
  <si>
    <t>Kr</t>
  </si>
  <si>
    <t>Rb</t>
  </si>
  <si>
    <t>Sr</t>
  </si>
  <si>
    <t>Y</t>
  </si>
  <si>
    <t>Zr</t>
  </si>
  <si>
    <t>Nb</t>
  </si>
  <si>
    <t>Mo</t>
  </si>
  <si>
    <t>Tc</t>
  </si>
  <si>
    <t>Ru</t>
  </si>
  <si>
    <t>Rh</t>
  </si>
  <si>
    <t>Pd</t>
  </si>
  <si>
    <t>Ag</t>
  </si>
  <si>
    <t>Cd</t>
  </si>
  <si>
    <t>In</t>
  </si>
  <si>
    <t>Sn</t>
  </si>
  <si>
    <t>Sb</t>
  </si>
  <si>
    <t>Te</t>
  </si>
  <si>
    <t>I</t>
  </si>
  <si>
    <t>Xe</t>
  </si>
  <si>
    <t>Cs</t>
  </si>
  <si>
    <t>Ba</t>
  </si>
  <si>
    <t>La</t>
  </si>
  <si>
    <t>Ce</t>
  </si>
  <si>
    <t>Pr</t>
  </si>
  <si>
    <t>Nd</t>
  </si>
  <si>
    <t>Pm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</si>
  <si>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</si>
  <si>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</si>
  <si>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</si>
  <si>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</si>
  <si>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</si>
  <si>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</si>
  <si>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</si>
  <si>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</si>
  <si>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</si>
  <si>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</si>
  <si>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</si>
  <si>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</si>
  <si>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W</t>
  </si>
  <si>
    <t>Re</t>
  </si>
  <si>
    <t>Os</t>
  </si>
  <si>
    <t>Ir</t>
  </si>
  <si>
    <t>Pt</t>
  </si>
  <si>
    <t>Au</t>
  </si>
  <si>
    <t>Hg</t>
  </si>
  <si>
    <t>Tl</t>
  </si>
  <si>
    <t>Pb</t>
  </si>
  <si>
    <t>Bi</t>
  </si>
  <si>
    <t>Po</t>
  </si>
  <si>
    <t>At</t>
  </si>
  <si>
    <t>Rn</t>
  </si>
  <si>
    <t>Fr</t>
  </si>
  <si>
    <t>Ra</t>
  </si>
  <si>
    <t>Ac</t>
  </si>
  <si>
    <t>Th</t>
  </si>
  <si>
    <t>Pa</t>
  </si>
  <si>
    <t>U</t>
  </si>
  <si>
    <t>Np</t>
  </si>
  <si>
    <t>Pu</t>
  </si>
  <si>
    <t>C_</t>
  </si>
  <si>
    <t>Any time molar mass is needed enter in the cell "=Element*Coefficient+NextElement*Coefficient…"</t>
  </si>
  <si>
    <t>This works anywhere in this workbook and is referenced from the table below</t>
  </si>
  <si>
    <t>Da</t>
  </si>
  <si>
    <t>Molar Mass Table</t>
  </si>
  <si>
    <t>Alt+F11 to open VBE</t>
  </si>
  <si>
    <r>
      <t>Δ</t>
    </r>
    <r>
      <rPr>
        <i/>
        <sz val="11"/>
        <color theme="1"/>
        <rFont val="Calibri"/>
        <family val="2"/>
        <scheme val="minor"/>
      </rPr>
      <t>S</t>
    </r>
    <r>
      <rPr>
        <vertAlign val="subscript"/>
        <sz val="11"/>
        <color theme="1"/>
        <rFont val="Calibri"/>
        <family val="2"/>
        <scheme val="minor"/>
      </rPr>
      <t>SURR</t>
    </r>
    <r>
      <rPr>
        <sz val="11"/>
        <color theme="1"/>
        <rFont val="Calibri"/>
        <family val="2"/>
        <scheme val="minor"/>
      </rPr>
      <t xml:space="preserve"> = (</t>
    </r>
    <r>
      <rPr>
        <i/>
        <sz val="11"/>
        <color theme="1"/>
        <rFont val="Calibri"/>
        <family val="2"/>
        <scheme val="minor"/>
      </rPr>
      <t>q/T</t>
    </r>
    <r>
      <rPr>
        <sz val="11"/>
        <color theme="1"/>
        <rFont val="Calibri"/>
        <family val="2"/>
        <scheme val="minor"/>
      </rPr>
      <t>)</t>
    </r>
  </si>
  <si>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= heat transferred to surroundings</t>
    </r>
  </si>
  <si>
    <r>
      <t>∆</t>
    </r>
    <r>
      <rPr>
        <i/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Reactant 1</t>
    </r>
    <r>
      <rPr>
        <sz val="11"/>
        <color theme="1"/>
        <rFont val="Calibri"/>
        <family val="2"/>
        <scheme val="minor"/>
      </rPr>
      <t xml:space="preserve"> = -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/mol</t>
    </r>
    <r>
      <rPr>
        <vertAlign val="subscript"/>
        <sz val="11"/>
        <color theme="1"/>
        <rFont val="Calibri"/>
        <family val="2"/>
        <scheme val="minor"/>
      </rPr>
      <t>Reactant 1</t>
    </r>
  </si>
  <si>
    <r>
      <t>Heat Required/Heat Released (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/|∆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|)</t>
    </r>
  </si>
  <si>
    <t>Gibbs Free Energy</t>
  </si>
  <si>
    <t>ΔS</t>
  </si>
  <si>
    <t>ΔH</t>
  </si>
  <si>
    <t>Spontaneity</t>
  </si>
  <si>
    <t>Implications for Sponaneity</t>
  </si>
  <si>
    <t>-</t>
  </si>
  <si>
    <t>+</t>
  </si>
  <si>
    <t>Spontaneous at all temps</t>
  </si>
  <si>
    <t>Never Spontaneous</t>
  </si>
  <si>
    <t>Spontaneous Only at Low Temps</t>
  </si>
  <si>
    <t>Spontaneous Only at High Temps</t>
  </si>
  <si>
    <r>
      <t>Calculating Δ</t>
    </r>
    <r>
      <rPr>
        <b/>
        <i/>
        <sz val="11"/>
        <color theme="1"/>
        <rFont val="Calibri"/>
        <family val="2"/>
        <scheme val="minor"/>
      </rPr>
      <t>G</t>
    </r>
    <r>
      <rPr>
        <b/>
        <sz val="11"/>
        <color theme="1"/>
        <rFont val="Calibri"/>
        <family val="2"/>
        <scheme val="minor"/>
      </rPr>
      <t xml:space="preserve"> from Δ</t>
    </r>
    <r>
      <rPr>
        <b/>
        <i/>
        <sz val="11"/>
        <color theme="1"/>
        <rFont val="Calibri"/>
        <family val="2"/>
        <scheme val="minor"/>
      </rPr>
      <t>H</t>
    </r>
    <r>
      <rPr>
        <b/>
        <sz val="11"/>
        <color theme="1"/>
        <rFont val="Calibri"/>
        <family val="2"/>
        <scheme val="minor"/>
      </rPr>
      <t xml:space="preserve"> and Δ</t>
    </r>
    <r>
      <rPr>
        <b/>
        <i/>
        <sz val="11"/>
        <color theme="1"/>
        <rFont val="Calibri"/>
        <family val="2"/>
        <scheme val="minor"/>
      </rPr>
      <t>S</t>
    </r>
  </si>
  <si>
    <t>T in Kelvin</t>
  </si>
  <si>
    <t>Temp Conversions 1˚C =</t>
  </si>
  <si>
    <t>Kelvin</t>
  </si>
  <si>
    <t>Fahrenheit</t>
  </si>
  <si>
    <t>ΔG &lt; 0</t>
  </si>
  <si>
    <t>ΔG = 0</t>
  </si>
  <si>
    <t>ΔG &gt; 0</t>
  </si>
  <si>
    <t>Reaction Sponatneous</t>
  </si>
  <si>
    <t>Reverse Reaction Spontaneous</t>
  </si>
  <si>
    <t>System at Equilibrium</t>
  </si>
  <si>
    <t>ΔH in kJ</t>
  </si>
  <si>
    <t>ΔG in kJ</t>
  </si>
  <si>
    <t>Free Energy and Spontaneity</t>
  </si>
  <si>
    <r>
      <t>Standard Reaction Entropy ΔG⁰ = ΔG⁰</t>
    </r>
    <r>
      <rPr>
        <b/>
        <vertAlign val="subscript"/>
        <sz val="11"/>
        <color theme="1"/>
        <rFont val="Calibri"/>
        <family val="2"/>
        <scheme val="minor"/>
      </rPr>
      <t>PRODUCTS</t>
    </r>
    <r>
      <rPr>
        <b/>
        <sz val="11"/>
        <color theme="1"/>
        <rFont val="Calibri"/>
        <family val="2"/>
        <scheme val="minor"/>
      </rPr>
      <t xml:space="preserve"> - ΔG⁰</t>
    </r>
    <r>
      <rPr>
        <b/>
        <vertAlign val="subscript"/>
        <sz val="11"/>
        <color theme="1"/>
        <rFont val="Calibri"/>
        <family val="2"/>
        <scheme val="minor"/>
      </rPr>
      <t>REACTANTS</t>
    </r>
  </si>
  <si>
    <t>ΔG⁰ Reactants (kJ)</t>
  </si>
  <si>
    <t>ΔG⁰ Products (kJ)</t>
  </si>
  <si>
    <t>ΔG⁰ (kJ/Mol)</t>
  </si>
  <si>
    <r>
      <t xml:space="preserve">Calculate Boiling Point 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= (Δ</t>
    </r>
    <r>
      <rPr>
        <b/>
        <i/>
        <sz val="11"/>
        <color theme="1"/>
        <rFont val="Calibri"/>
        <family val="2"/>
        <scheme val="minor"/>
      </rPr>
      <t>H</t>
    </r>
    <r>
      <rPr>
        <b/>
        <sz val="11"/>
        <color theme="1"/>
        <rFont val="Calibri"/>
        <family val="2"/>
        <scheme val="minor"/>
      </rPr>
      <t xml:space="preserve"> -Δ</t>
    </r>
    <r>
      <rPr>
        <b/>
        <i/>
        <sz val="11"/>
        <color theme="1"/>
        <rFont val="Calibri"/>
        <family val="2"/>
        <scheme val="minor"/>
      </rPr>
      <t>G</t>
    </r>
    <r>
      <rPr>
        <b/>
        <sz val="11"/>
        <color theme="1"/>
        <rFont val="Calibri"/>
        <family val="2"/>
        <scheme val="minor"/>
      </rPr>
      <t>)/Δ</t>
    </r>
    <r>
      <rPr>
        <b/>
        <i/>
        <sz val="11"/>
        <color theme="1"/>
        <rFont val="Calibri"/>
        <family val="2"/>
        <scheme val="minor"/>
      </rPr>
      <t>S</t>
    </r>
  </si>
  <si>
    <r>
      <t>Heat Capacity Combined Calculator</t>
    </r>
    <r>
      <rPr>
        <b/>
        <i/>
        <sz val="11"/>
        <color theme="1"/>
        <rFont val="Calibri"/>
        <family val="2"/>
        <scheme val="minor"/>
      </rPr>
      <t xml:space="preserve"> q = c*m*ΔT </t>
    </r>
  </si>
  <si>
    <t>Input (leave cell to find blank):</t>
  </si>
  <si>
    <t>(˚C*(9/5))+32 = ˚F</t>
  </si>
  <si>
    <t>˚C+273.15 = ˚K</t>
  </si>
  <si>
    <t>(-) ΔH</t>
  </si>
  <si>
    <t>Exothermic</t>
  </si>
  <si>
    <t>Endothermic</t>
  </si>
  <si>
    <t>Enthalpy and Endo vs Exo</t>
  </si>
  <si>
    <t>(+)  ΔH</t>
  </si>
  <si>
    <r>
      <t>Entropy (S) =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Boltzmann Constant(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 ln(microstates(</t>
    </r>
    <r>
      <rPr>
        <sz val="11"/>
        <color theme="1"/>
        <rFont val="Calibri"/>
        <family val="2"/>
      </rPr>
      <t>Ω))</t>
    </r>
  </si>
  <si>
    <t>Definitions</t>
  </si>
  <si>
    <t xml:space="preserve"> Enthalpy (ΔH) = q at Constant Pressure</t>
  </si>
  <si>
    <t>Note Carbon must be entered as "C_"</t>
  </si>
  <si>
    <r>
      <t>∆H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˚(g) kJ/mol</t>
    </r>
  </si>
  <si>
    <r>
      <t>∆H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˚(l) kJ/mol</t>
    </r>
  </si>
  <si>
    <t>ΔG in kJ/mol</t>
  </si>
  <si>
    <t>S˚(g) J/mol</t>
  </si>
  <si>
    <t>S˚(l) J/mol</t>
  </si>
  <si>
    <t>ΔH in J/mol</t>
  </si>
  <si>
    <t>ΔS in J/mol</t>
  </si>
  <si>
    <t>Leave the Input of Field to Find Blank</t>
  </si>
  <si>
    <r>
      <t>ΔS</t>
    </r>
    <r>
      <rPr>
        <vertAlign val="subscript"/>
        <sz val="11"/>
        <color theme="1"/>
        <rFont val="Calibri"/>
        <family val="2"/>
        <scheme val="minor"/>
      </rPr>
      <t>SURR</t>
    </r>
    <r>
      <rPr>
        <sz val="11"/>
        <color theme="1"/>
        <rFont val="Calibri"/>
        <family val="2"/>
        <scheme val="minor"/>
      </rPr>
      <t xml:space="preserve"> = -ΔH/T    in J/K</t>
    </r>
  </si>
  <si>
    <r>
      <t xml:space="preserve"> Δ</t>
    </r>
    <r>
      <rPr>
        <i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=  Δ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sys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Δ</t>
    </r>
    <r>
      <rPr>
        <i/>
        <sz val="11"/>
        <color theme="1"/>
        <rFont val="Calibri"/>
        <family val="2"/>
        <scheme val="minor"/>
      </rPr>
      <t>S</t>
    </r>
    <r>
      <rPr>
        <vertAlign val="subscript"/>
        <sz val="11"/>
        <color theme="1"/>
        <rFont val="Calibri"/>
        <family val="2"/>
        <scheme val="minor"/>
      </rPr>
      <t>sys</t>
    </r>
  </si>
  <si>
    <r>
      <t xml:space="preserve"> Δ</t>
    </r>
    <r>
      <rPr>
        <i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= -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Δ</t>
    </r>
    <r>
      <rPr>
        <i/>
        <sz val="11"/>
        <color theme="1"/>
        <rFont val="Calibri"/>
        <family val="2"/>
        <scheme val="minor"/>
      </rPr>
      <t>S</t>
    </r>
    <r>
      <rPr>
        <vertAlign val="subscript"/>
        <sz val="11"/>
        <color theme="1"/>
        <rFont val="Calibri"/>
        <family val="2"/>
        <scheme val="minor"/>
      </rPr>
      <t>UNIV</t>
    </r>
  </si>
  <si>
    <t>Spontaneous?</t>
  </si>
  <si>
    <t>NO2</t>
  </si>
  <si>
    <t>Boiling Point T</t>
  </si>
  <si>
    <t xml:space="preserve"> in ˚C</t>
  </si>
  <si>
    <t xml:space="preserve"> in ˚K</t>
  </si>
  <si>
    <t xml:space="preserve">Within Phases q = c*m*ΔT </t>
  </si>
  <si>
    <t>mass in g</t>
  </si>
  <si>
    <t>molar mass</t>
  </si>
  <si>
    <t>(q) Heat Needed in J</t>
  </si>
  <si>
    <r>
      <t>Δ</t>
    </r>
    <r>
      <rPr>
        <i/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phase Change</t>
    </r>
    <r>
      <rPr>
        <sz val="11"/>
        <color theme="1"/>
        <rFont val="Calibri"/>
        <family val="2"/>
        <scheme val="minor"/>
      </rPr>
      <t xml:space="preserve"> J/mol</t>
    </r>
  </si>
  <si>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mol </t>
    </r>
  </si>
  <si>
    <r>
      <rPr>
        <b/>
        <i/>
        <sz val="11"/>
        <color theme="1"/>
        <rFont val="Calibri"/>
        <family val="2"/>
        <scheme val="minor"/>
      </rPr>
      <t>Between phases ΔH = q = n*ΔH</t>
    </r>
    <r>
      <rPr>
        <b/>
        <vertAlign val="subscript"/>
        <sz val="11"/>
        <color theme="1"/>
        <rFont val="Calibri"/>
        <family val="2"/>
        <scheme val="minor"/>
      </rPr>
      <t>phase change</t>
    </r>
  </si>
  <si>
    <r>
      <t xml:space="preserve"> Δ</t>
    </r>
    <r>
      <rPr>
        <i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= 0 During Phase Change</t>
    </r>
  </si>
  <si>
    <t>Polarity:</t>
  </si>
  <si>
    <t>Difference in Electronegativity &gt; 0.5</t>
  </si>
  <si>
    <t>Hydrogen Bonding: FON</t>
  </si>
  <si>
    <t>Non-Polar</t>
  </si>
  <si>
    <t>Geometrical Asymmetry</t>
  </si>
  <si>
    <t>Geometrical Symmetry</t>
  </si>
  <si>
    <t>Only C and H</t>
  </si>
  <si>
    <t>ΔS⁰ (J/K)</t>
  </si>
  <si>
    <t>ΔS in J</t>
  </si>
  <si>
    <t>x</t>
  </si>
  <si>
    <r>
      <t>Rate = Δ[Product]/</t>
    </r>
    <r>
      <rPr>
        <i/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prod</t>
    </r>
    <r>
      <rPr>
        <sz val="11"/>
        <color theme="1"/>
        <rFont val="Calibri"/>
        <family val="2"/>
        <scheme val="minor"/>
      </rPr>
      <t>*Δ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-Δ[Reactant]/</t>
    </r>
    <r>
      <rPr>
        <i/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react</t>
    </r>
    <r>
      <rPr>
        <sz val="11"/>
        <color theme="1"/>
        <rFont val="Calibri"/>
        <family val="2"/>
        <scheme val="minor"/>
      </rPr>
      <t>*Δ</t>
    </r>
    <r>
      <rPr>
        <i/>
        <sz val="11"/>
        <color theme="1"/>
        <rFont val="Calibri"/>
        <family val="2"/>
        <scheme val="minor"/>
      </rPr>
      <t>t</t>
    </r>
  </si>
  <si>
    <r>
      <t>Rate = Δ[Product]/Δ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-Δ[Reactant]/Δ</t>
    </r>
    <r>
      <rPr>
        <i/>
        <sz val="11"/>
        <color theme="1"/>
        <rFont val="Calibri"/>
        <family val="2"/>
        <scheme val="minor"/>
      </rPr>
      <t>t</t>
    </r>
  </si>
  <si>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= Stoichimetric Coefficient</t>
    </r>
  </si>
  <si>
    <r>
      <t>Moles Reactants 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</si>
  <si>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Moles Products (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</si>
  <si>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Stoichiometric Coefficient (</t>
    </r>
    <r>
      <rPr>
        <b/>
        <i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>)</t>
    </r>
  </si>
  <si>
    <r>
      <t>Limiting Reactant Stochiometric Coefficient (</t>
    </r>
    <r>
      <rPr>
        <b/>
        <i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>)</t>
    </r>
  </si>
  <si>
    <r>
      <t xml:space="preserve">Moles of R1 Consumed in Rxn (Stoich #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</si>
  <si>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 xml:space="preserve">Times Reaction Must Run (mol/Stoich #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</si>
  <si>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Moles (</t>
    </r>
    <r>
      <rPr>
        <i/>
        <sz val="11"/>
        <color theme="1"/>
        <rFont val="Calibri"/>
        <family val="2"/>
        <scheme val="minor"/>
      </rPr>
      <t>v)</t>
    </r>
  </si>
  <si>
    <r>
      <t>Stoich # (</t>
    </r>
    <r>
      <rPr>
        <i/>
        <sz val="9"/>
        <color theme="1"/>
        <rFont val="Calibri"/>
        <family val="2"/>
        <scheme val="minor"/>
      </rPr>
      <t>v</t>
    </r>
    <r>
      <rPr>
        <sz val="9"/>
        <color theme="1"/>
        <rFont val="Calibri"/>
        <family val="2"/>
        <scheme val="minor"/>
      </rPr>
      <t>)</t>
    </r>
  </si>
  <si>
    <r>
      <t xml:space="preserve">Moles Reactant 1 Consumed Each Reaction (Stoich #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</si>
  <si>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 xml:space="preserve">overal order = </t>
    </r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+ </t>
    </r>
    <r>
      <rPr>
        <i/>
        <sz val="11"/>
        <color theme="1"/>
        <rFont val="Calibri"/>
        <family val="2"/>
        <scheme val="minor"/>
      </rPr>
      <t>n</t>
    </r>
  </si>
  <si>
    <r>
      <rPr>
        <i/>
        <sz val="11"/>
        <color theme="1"/>
        <rFont val="Calibri"/>
        <family val="2"/>
        <scheme val="minor"/>
      </rPr>
      <t xml:space="preserve">k = </t>
    </r>
    <r>
      <rPr>
        <sz val="11"/>
        <color theme="1"/>
        <rFont val="Calibri"/>
        <family val="2"/>
        <scheme val="minor"/>
      </rPr>
      <t>rate constant (small = slow, large = rapid)</t>
    </r>
  </si>
  <si>
    <t>Differential rate law</t>
  </si>
  <si>
    <r>
      <t>Rates of Chemical Reactions (mol 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</si>
  <si>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 xml:space="preserve"> </t>
    </r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order of reaction</t>
    </r>
    <r>
      <rPr>
        <sz val="9"/>
        <color theme="1"/>
        <rFont val="Calibri"/>
        <family val="2"/>
        <scheme val="minor"/>
      </rPr>
      <t xml:space="preserve"> (usually integer rarely &gt; 2)</t>
    </r>
  </si>
  <si>
    <r>
      <t xml:space="preserve">If 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0:</t>
    </r>
  </si>
  <si>
    <r>
      <t xml:space="preserve">If 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1: </t>
    </r>
  </si>
  <si>
    <t>doubling concentration X does not change rate</t>
  </si>
  <si>
    <r>
      <t xml:space="preserve">If 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2:</t>
    </r>
  </si>
  <si>
    <t>Initial Rate of Rxn M/s</t>
  </si>
  <si>
    <r>
      <t xml:space="preserve">Rate Constant </t>
    </r>
    <r>
      <rPr>
        <i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</t>
    </r>
  </si>
  <si>
    <t>Initial [A] M</t>
  </si>
  <si>
    <r>
      <t xml:space="preserve">Rxn Order </t>
    </r>
    <r>
      <rPr>
        <i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in Respect to [A]</t>
    </r>
  </si>
  <si>
    <t>Initial [B] M</t>
  </si>
  <si>
    <r>
      <t xml:space="preserve">Rxn Order </t>
    </r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in Respecet to [B]</t>
    </r>
  </si>
  <si>
    <t xml:space="preserve"> A and B = reactant concentrations</t>
  </si>
  <si>
    <t>?</t>
  </si>
  <si>
    <r>
      <t xml:space="preserve">Differential Rate law Rate = </t>
    </r>
    <r>
      <rPr>
        <b/>
        <i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[A]</t>
    </r>
    <r>
      <rPr>
        <b/>
        <i/>
        <vertAlign val="super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[B]</t>
    </r>
    <r>
      <rPr>
        <b/>
        <i/>
        <vertAlign val="superscript"/>
        <sz val="11"/>
        <color theme="1"/>
        <rFont val="Calibri"/>
        <family val="2"/>
        <scheme val="minor"/>
      </rPr>
      <t>n</t>
    </r>
  </si>
  <si>
    <r>
      <t xml:space="preserve">Rate Constant </t>
    </r>
    <r>
      <rPr>
        <i/>
        <sz val="11"/>
        <color theme="1"/>
        <rFont val="Calibri"/>
        <family val="2"/>
        <scheme val="minor"/>
      </rPr>
      <t>k</t>
    </r>
  </si>
  <si>
    <t>Zero-Order Integrated Rate Law</t>
  </si>
  <si>
    <r>
      <t>Step 1: Balance Equation, Find ∆</t>
    </r>
    <r>
      <rPr>
        <b/>
        <i/>
        <sz val="11"/>
        <color theme="1"/>
        <rFont val="Calibri"/>
        <family val="2"/>
        <scheme val="minor"/>
      </rPr>
      <t>H</t>
    </r>
  </si>
  <si>
    <r>
      <t>Step 5: Find Volume of Balloons V=(4/3)πr</t>
    </r>
    <r>
      <rPr>
        <b/>
        <vertAlign val="superscript"/>
        <sz val="11"/>
        <rFont val="Calibri"/>
        <family val="2"/>
        <scheme val="minor"/>
      </rPr>
      <t>3</t>
    </r>
  </si>
  <si>
    <r>
      <t>Step 6: Find Heat Needed (</t>
    </r>
    <r>
      <rPr>
        <b/>
        <i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i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* </t>
    </r>
    <r>
      <rPr>
        <b/>
        <i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* ∆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)</t>
    </r>
  </si>
  <si>
    <t>Second-Order Integrated Rate Law</t>
  </si>
  <si>
    <t>First-Order Integrated Rate Law</t>
  </si>
  <si>
    <t>Rate Laws</t>
  </si>
  <si>
    <r>
      <t>[A]</t>
    </r>
    <r>
      <rPr>
        <i/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Concentration of A at time </t>
    </r>
    <r>
      <rPr>
        <i/>
        <sz val="11"/>
        <color theme="1"/>
        <rFont val="Calibri"/>
        <family val="2"/>
        <scheme val="minor"/>
      </rPr>
      <t>t</t>
    </r>
  </si>
  <si>
    <r>
      <t>[A]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= Initial Concentration</t>
    </r>
  </si>
  <si>
    <t>Half-Life</t>
  </si>
  <si>
    <t>Integrated Rate Law</t>
  </si>
  <si>
    <t>Given</t>
  </si>
  <si>
    <t>Order</t>
  </si>
  <si>
    <t>Arrhenius Equation</t>
  </si>
  <si>
    <r>
      <rPr>
        <i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Ae</t>
    </r>
    <r>
      <rPr>
        <i/>
        <vertAlign val="superscript"/>
        <sz val="11"/>
        <color theme="1"/>
        <rFont val="Calibri"/>
        <family val="2"/>
        <scheme val="minor"/>
      </rPr>
      <t>-Ea/RT</t>
    </r>
  </si>
  <si>
    <r>
      <rPr>
        <i/>
        <sz val="11"/>
        <color theme="1"/>
        <rFont val="Calibri"/>
        <family val="2"/>
        <scheme val="minor"/>
      </rPr>
      <t>Ea</t>
    </r>
    <r>
      <rPr>
        <sz val="11"/>
        <color theme="1"/>
        <rFont val="Calibri"/>
        <family val="2"/>
        <scheme val="minor"/>
      </rPr>
      <t xml:space="preserve"> = Activation Energy</t>
    </r>
  </si>
  <si>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= Universal Gas Constant</t>
    </r>
  </si>
  <si>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Temp in Kelvin</t>
    </r>
  </si>
  <si>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Frequency Factor</t>
    </r>
  </si>
  <si>
    <r>
      <t xml:space="preserve">ln </t>
    </r>
    <r>
      <rPr>
        <i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= (-</t>
    </r>
    <r>
      <rPr>
        <i/>
        <sz val="11"/>
        <color theme="1"/>
        <rFont val="Calibri"/>
        <family val="2"/>
        <scheme val="minor"/>
      </rPr>
      <t>Ea</t>
    </r>
    <r>
      <rPr>
        <sz val="11"/>
        <color theme="1"/>
        <rFont val="Calibri"/>
        <family val="2"/>
        <scheme val="minor"/>
      </rPr>
      <t>/</t>
    </r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)(1/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) + ln </t>
    </r>
    <r>
      <rPr>
        <i/>
        <sz val="11"/>
        <color theme="1"/>
        <rFont val="Calibri"/>
        <family val="2"/>
        <scheme val="minor"/>
      </rPr>
      <t>A</t>
    </r>
  </si>
  <si>
    <t>Treat ln form of equation as y = mx+b</t>
  </si>
  <si>
    <t>k</t>
  </si>
  <si>
    <t>T (in K)</t>
  </si>
  <si>
    <t>1/T (in K)</t>
  </si>
  <si>
    <r>
      <t xml:space="preserve">ln </t>
    </r>
    <r>
      <rPr>
        <i/>
        <sz val="11"/>
        <color theme="1"/>
        <rFont val="Calibri"/>
        <family val="2"/>
        <scheme val="minor"/>
      </rPr>
      <t>k</t>
    </r>
  </si>
  <si>
    <t>If data are plotted in straight line, reaction exhibits Arrhenius behavior.</t>
  </si>
  <si>
    <t>Using A Graph to Determine Arrhenius Behavior</t>
  </si>
  <si>
    <t>Ea</t>
  </si>
  <si>
    <r>
      <t xml:space="preserve"> -</t>
    </r>
    <r>
      <rPr>
        <i/>
        <sz val="11"/>
        <color theme="1"/>
        <rFont val="Calibri"/>
        <family val="2"/>
        <scheme val="minor"/>
      </rPr>
      <t>Ea</t>
    </r>
    <r>
      <rPr>
        <sz val="11"/>
        <color theme="1"/>
        <rFont val="Calibri"/>
        <family val="2"/>
        <scheme val="minor"/>
      </rPr>
      <t>/</t>
    </r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</t>
    </r>
  </si>
  <si>
    <t>Deducing Rate Law from Initial Reaction Rate Data</t>
  </si>
  <si>
    <t>[A] Concentrations</t>
  </si>
  <si>
    <t>1st  reaction</t>
  </si>
  <si>
    <t>2nd reaction</t>
  </si>
  <si>
    <t>3rd reaction</t>
  </si>
  <si>
    <t>[B] Concentrations</t>
  </si>
  <si>
    <t>Initial Rate of Rxn</t>
  </si>
  <si>
    <t>Δ Concentration</t>
  </si>
  <si>
    <t>Δ Rate</t>
  </si>
  <si>
    <r>
      <rPr>
        <i/>
        <sz val="11"/>
        <color theme="1"/>
        <rFont val="Calibri"/>
        <family val="2"/>
        <scheme val="minor"/>
      </rPr>
      <t xml:space="preserve">k </t>
    </r>
    <r>
      <rPr>
        <sz val="11"/>
        <color theme="1"/>
        <rFont val="Calibri"/>
        <family val="2"/>
        <scheme val="minor"/>
      </rPr>
      <t>=</t>
    </r>
  </si>
  <si>
    <t>Green denotes mid-calculation outputs</t>
  </si>
  <si>
    <t>Yellow denotes final outputs</t>
  </si>
  <si>
    <t>Yellow denotes fianl outputs</t>
  </si>
  <si>
    <t>https://www.ablebits.com/office-addins-blog/2018/05/16/how-to-superscript-subscript-excel/</t>
  </si>
  <si>
    <t>Rate proportional to concentration (double → double)</t>
  </si>
  <si>
    <r>
      <t>Rate proportional to conentration</t>
    </r>
    <r>
      <rPr>
        <b/>
        <vertAlign val="superscript"/>
        <sz val="9"/>
        <color theme="1"/>
        <rFont val="Calibri"/>
        <family val="2"/>
        <scheme val="minor"/>
      </rPr>
      <t>2</t>
    </r>
    <r>
      <rPr>
        <b/>
        <vertAlign val="superscript"/>
        <sz val="8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 xml:space="preserve">(double </t>
    </r>
    <r>
      <rPr>
        <sz val="8"/>
        <color theme="1"/>
        <rFont val="Calibri"/>
        <family val="2"/>
      </rPr>
      <t xml:space="preserve">→ </t>
    </r>
    <r>
      <rPr>
        <sz val="8"/>
        <color theme="1"/>
        <rFont val="Calibri"/>
        <family val="2"/>
        <scheme val="minor"/>
      </rPr>
      <t>quadruple)</t>
    </r>
  </si>
  <si>
    <r>
      <t>Find: t or [A]</t>
    </r>
    <r>
      <rPr>
        <b/>
        <vertAlign val="subscript"/>
        <sz val="11"/>
        <color theme="1"/>
        <rFont val="Calibri"/>
        <family val="2"/>
        <scheme val="minor"/>
      </rPr>
      <t>0</t>
    </r>
  </si>
  <si>
    <r>
      <t xml:space="preserve">t </t>
    </r>
    <r>
      <rPr>
        <sz val="11"/>
        <color theme="1"/>
        <rFont val="Calibri"/>
        <family val="2"/>
        <scheme val="minor"/>
      </rPr>
      <t>(seconds)</t>
    </r>
  </si>
  <si>
    <r>
      <t xml:space="preserve">Rate = </t>
    </r>
    <r>
      <rPr>
        <b/>
        <i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[A]</t>
    </r>
    <r>
      <rPr>
        <b/>
        <i/>
        <vertAlign val="super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[B]</t>
    </r>
    <r>
      <rPr>
        <b/>
        <i/>
        <vertAlign val="superscript"/>
        <sz val="11"/>
        <color theme="1"/>
        <rFont val="Calibri"/>
        <family val="2"/>
        <scheme val="minor"/>
      </rPr>
      <t>n</t>
    </r>
  </si>
  <si>
    <r>
      <t>[A]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= [A]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>-</t>
    </r>
    <r>
      <rPr>
        <b/>
        <i/>
        <sz val="11"/>
        <color theme="1"/>
        <rFont val="Calibri"/>
        <family val="2"/>
        <scheme val="minor"/>
      </rPr>
      <t>kt</t>
    </r>
  </si>
  <si>
    <r>
      <t>[A]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= [A]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i/>
        <sz val="11"/>
        <color theme="1"/>
        <rFont val="Calibri"/>
        <family val="2"/>
        <scheme val="minor"/>
      </rPr>
      <t>e</t>
    </r>
    <r>
      <rPr>
        <b/>
        <vertAlign val="superscript"/>
        <sz val="11"/>
        <color theme="1"/>
        <rFont val="Calibri"/>
        <family val="2"/>
        <scheme val="minor"/>
      </rPr>
      <t>-</t>
    </r>
    <r>
      <rPr>
        <b/>
        <i/>
        <vertAlign val="superscript"/>
        <sz val="11"/>
        <color theme="1"/>
        <rFont val="Calibri"/>
        <family val="2"/>
        <scheme val="minor"/>
      </rPr>
      <t>kt</t>
    </r>
  </si>
  <si>
    <r>
      <t>(1/[A]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)-(1/[A]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) = </t>
    </r>
    <r>
      <rPr>
        <b/>
        <i/>
        <sz val="11"/>
        <color theme="1"/>
        <rFont val="Calibri"/>
        <family val="2"/>
        <scheme val="minor"/>
      </rPr>
      <t>kt</t>
    </r>
  </si>
  <si>
    <r>
      <rPr>
        <b/>
        <i/>
        <sz val="11"/>
        <color theme="1"/>
        <rFont val="Calibri"/>
        <family val="2"/>
        <scheme val="minor"/>
      </rPr>
      <t>t</t>
    </r>
    <r>
      <rPr>
        <b/>
        <vertAlign val="sub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= 0.693/</t>
    </r>
    <r>
      <rPr>
        <b/>
        <i/>
        <sz val="11"/>
        <color theme="1"/>
        <rFont val="Calibri"/>
        <family val="2"/>
        <scheme val="minor"/>
      </rPr>
      <t>k</t>
    </r>
  </si>
  <si>
    <t>Calculating the Reaction Rate of One Reactant from that of Another</t>
  </si>
  <si>
    <r>
      <rPr>
        <i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in atm</t>
    </r>
  </si>
  <si>
    <r>
      <t>R</t>
    </r>
    <r>
      <rPr>
        <sz val="11"/>
        <color theme="1"/>
        <rFont val="Calibri"/>
        <family val="2"/>
        <scheme val="minor"/>
      </rPr>
      <t xml:space="preserve"> in L∙atm∙molˉ¹∙Kˉ¹</t>
    </r>
  </si>
  <si>
    <r>
      <t>T</t>
    </r>
    <r>
      <rPr>
        <sz val="11"/>
        <color theme="1"/>
        <rFont val="Calibri"/>
        <family val="2"/>
        <scheme val="minor"/>
      </rPr>
      <t xml:space="preserve"> in Kelvin</t>
    </r>
  </si>
  <si>
    <t>mol/s</t>
  </si>
  <si>
    <r>
      <t>n</t>
    </r>
    <r>
      <rPr>
        <sz val="11"/>
        <color theme="1"/>
        <rFont val="Calibri"/>
        <family val="2"/>
        <scheme val="minor"/>
      </rPr>
      <t xml:space="preserve">   Consumed</t>
    </r>
  </si>
  <si>
    <r>
      <t>n</t>
    </r>
    <r>
      <rPr>
        <sz val="11"/>
        <color theme="1"/>
        <rFont val="Calibri"/>
        <family val="2"/>
        <scheme val="minor"/>
      </rPr>
      <t xml:space="preserve">   Produced</t>
    </r>
  </si>
  <si>
    <t>Molar Mass Product</t>
  </si>
  <si>
    <t>g/mol</t>
  </si>
  <si>
    <r>
      <t xml:space="preserve">Ideal Gas Law </t>
    </r>
    <r>
      <rPr>
        <i/>
        <sz val="11"/>
        <color theme="1"/>
        <rFont val="Calibri"/>
        <family val="2"/>
        <scheme val="minor"/>
      </rPr>
      <t>pV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nRT</t>
    </r>
  </si>
  <si>
    <t>g/s</t>
  </si>
  <si>
    <t>kg/s</t>
  </si>
  <si>
    <r>
      <t xml:space="preserve">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of Target Product</t>
    </r>
  </si>
  <si>
    <r>
      <t xml:space="preserve">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of Main Reactant</t>
    </r>
  </si>
  <si>
    <t>⇄</t>
  </si>
  <si>
    <t>https://en.wikipedia.org/wiki/Arrow_(symbol)</t>
  </si>
  <si>
    <r>
      <t>(k</t>
    </r>
    <r>
      <rPr>
        <vertAlign val="subscript"/>
        <sz val="11"/>
        <color theme="1"/>
        <rFont val="Calibri"/>
        <family val="2"/>
        <scheme val="minor"/>
      </rPr>
      <t>for</t>
    </r>
    <r>
      <rPr>
        <sz val="11"/>
        <color theme="1"/>
        <rFont val="Calibri"/>
        <family val="2"/>
        <scheme val="minor"/>
      </rPr>
      <t>/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rev</t>
    </r>
    <r>
      <rPr>
        <sz val="11"/>
        <color theme="1"/>
        <rFont val="Calibri"/>
        <family val="2"/>
        <scheme val="minor"/>
      </rPr>
      <t>) = ([P]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/[R]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)</t>
    </r>
  </si>
  <si>
    <t>Law of Mass Action</t>
  </si>
  <si>
    <r>
      <t xml:space="preserve">Calculate Temp Change </t>
    </r>
    <r>
      <rPr>
        <b/>
        <i/>
        <sz val="11"/>
        <color theme="1"/>
        <rFont val="Calibri"/>
        <family val="2"/>
        <scheme val="minor"/>
      </rPr>
      <t>(ΔT)= q/(c*m)</t>
    </r>
  </si>
  <si>
    <r>
      <t xml:space="preserve">Calorimety (Constant) </t>
    </r>
    <r>
      <rPr>
        <b/>
        <i/>
        <sz val="11"/>
        <color theme="1"/>
        <rFont val="Calibri"/>
        <family val="2"/>
        <scheme val="minor"/>
      </rPr>
      <t>q = C</t>
    </r>
    <r>
      <rPr>
        <b/>
        <i/>
        <vertAlign val="subscript"/>
        <sz val="11"/>
        <color theme="1"/>
        <rFont val="Calibri"/>
        <family val="2"/>
        <scheme val="minor"/>
      </rPr>
      <t>calorimeter</t>
    </r>
    <r>
      <rPr>
        <b/>
        <i/>
        <sz val="11"/>
        <color theme="1"/>
        <rFont val="Calibri"/>
        <family val="2"/>
        <scheme val="minor"/>
      </rPr>
      <t>*ΔT</t>
    </r>
  </si>
  <si>
    <r>
      <t xml:space="preserve"> (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) Heat Needed (in J)</t>
    </r>
  </si>
  <si>
    <t xml:space="preserve"> (q) Heat Needed (in J)</t>
  </si>
  <si>
    <r>
      <t xml:space="preserve"> (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) Heat Supplied (in J)</t>
    </r>
  </si>
  <si>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of Substance (in J)</t>
    </r>
  </si>
  <si>
    <r>
      <rPr>
        <i/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calorimeter</t>
    </r>
    <r>
      <rPr>
        <sz val="11"/>
        <color theme="1"/>
        <rFont val="Calibri"/>
        <family val="2"/>
        <scheme val="minor"/>
      </rPr>
      <t xml:space="preserve"> (in J)</t>
    </r>
  </si>
  <si>
    <r>
      <rPr>
        <i/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calorimeter</t>
    </r>
    <r>
      <rPr>
        <sz val="11"/>
        <color theme="1"/>
        <rFont val="Calibri"/>
        <family val="2"/>
        <scheme val="minor"/>
      </rPr>
      <t xml:space="preserve"> (in J/g ˚C)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</si>
  <si>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 xml:space="preserve"> = ([C]</t>
    </r>
    <r>
      <rPr>
        <i/>
        <vertAlign val="superscript"/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[D]</t>
    </r>
    <r>
      <rPr>
        <i/>
        <vertAlign val="superscript"/>
        <sz val="11"/>
        <color theme="1"/>
        <rFont val="Calibri"/>
        <family val="2"/>
        <scheme val="minor"/>
      </rPr>
      <t>d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)/([A]</t>
    </r>
    <r>
      <rPr>
        <i/>
        <vertAlign val="superscript"/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[B]</t>
    </r>
    <r>
      <rPr>
        <i/>
        <vertAlign val="superscript"/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)</t>
    </r>
  </si>
  <si>
    <t>The Equilibrium Expressoin</t>
  </si>
  <si>
    <t>Gas Phase Equilibria</t>
  </si>
  <si>
    <r>
      <t>K</t>
    </r>
    <r>
      <rPr>
        <vertAlign val="subscript"/>
        <sz val="11"/>
        <color theme="1"/>
        <rFont val="Calibri"/>
        <family val="2"/>
        <scheme val="minor"/>
      </rPr>
      <t>P</t>
    </r>
    <r>
      <rPr>
        <i/>
        <sz val="11"/>
        <color theme="1"/>
        <rFont val="Calibri"/>
        <family val="2"/>
        <scheme val="minor"/>
      </rPr>
      <t xml:space="preserve"> = ((P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</t>
    </r>
    <r>
      <rPr>
        <i/>
        <vertAlign val="superscript"/>
        <sz val="11"/>
        <color theme="1"/>
        <rFont val="Calibri"/>
        <family val="2"/>
        <scheme val="minor"/>
      </rPr>
      <t>c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)</t>
    </r>
    <r>
      <rPr>
        <i/>
        <vertAlign val="superscript"/>
        <sz val="11"/>
        <color theme="1"/>
        <rFont val="Calibri"/>
        <family val="2"/>
        <scheme val="minor"/>
      </rPr>
      <t>d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))/((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</t>
    </r>
    <r>
      <rPr>
        <i/>
        <vertAlign val="superscript"/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</t>
    </r>
    <r>
      <rPr>
        <i/>
        <vertAlign val="superscript"/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eq</t>
    </r>
    <r>
      <rPr>
        <sz val="11"/>
        <color theme="1"/>
        <rFont val="Calibri"/>
        <family val="2"/>
        <scheme val="minor"/>
      </rPr>
      <t>))</t>
    </r>
  </si>
  <si>
    <t>c</t>
  </si>
  <si>
    <t>d</t>
  </si>
  <si>
    <t>a</t>
  </si>
  <si>
    <t>b</t>
  </si>
  <si>
    <r>
      <t xml:space="preserve">Given:  </t>
    </r>
    <r>
      <rPr>
        <sz val="11"/>
        <color theme="1"/>
        <rFont val="Calibri"/>
        <family val="2"/>
        <scheme val="minor"/>
      </rPr>
      <t>(enter "1" if cell is not used)</t>
    </r>
  </si>
  <si>
    <r>
      <t xml:space="preserve">[A] or 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A</t>
    </r>
  </si>
  <si>
    <r>
      <t xml:space="preserve">[B] or 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B</t>
    </r>
  </si>
  <si>
    <r>
      <t xml:space="preserve">[C] or 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C</t>
    </r>
  </si>
  <si>
    <r>
      <t xml:space="preserve">[D] or </t>
    </r>
    <r>
      <rPr>
        <i/>
        <sz val="11"/>
        <color theme="1"/>
        <rFont val="Calibri"/>
        <family val="2"/>
        <scheme val="minor"/>
      </rPr>
      <t>P</t>
    </r>
    <r>
      <rPr>
        <vertAlign val="subscript"/>
        <sz val="11"/>
        <color theme="1"/>
        <rFont val="Calibri"/>
        <family val="2"/>
        <scheme val="minor"/>
      </rPr>
      <t>D</t>
    </r>
  </si>
  <si>
    <t>mol</t>
  </si>
  <si>
    <t>mol/L</t>
  </si>
  <si>
    <t>Compound</t>
  </si>
  <si>
    <t>grams</t>
  </si>
  <si>
    <t>moles</t>
  </si>
  <si>
    <t>Reaction Vessel Vol (L)</t>
  </si>
  <si>
    <r>
      <t>K</t>
    </r>
    <r>
      <rPr>
        <vertAlign val="subscript"/>
        <sz val="11"/>
        <color theme="1"/>
        <rFont val="Calibri"/>
        <family val="2"/>
        <scheme val="minor"/>
      </rPr>
      <t>C</t>
    </r>
  </si>
  <si>
    <t>Analysis:</t>
  </si>
  <si>
    <t>LeChatelier's Principle</t>
  </si>
  <si>
    <t>Equilibrium will shift in a way that tends to offset the applied stress</t>
  </si>
  <si>
    <t>Setting up a Reaction Table</t>
  </si>
  <si>
    <t>Equilibrium in Molartiy</t>
  </si>
  <si>
    <t>Flask Volume</t>
  </si>
  <si>
    <t>ml</t>
  </si>
  <si>
    <t>mol/ml</t>
  </si>
  <si>
    <t>Initial Molarity (mol/L)</t>
  </si>
  <si>
    <t>If given x is product, reactants are (-x) and vice versa</t>
  </si>
  <si>
    <r>
      <rPr>
        <b/>
        <sz val="11"/>
        <color theme="1"/>
        <rFont val="Calibri"/>
        <family val="2"/>
        <scheme val="minor"/>
      </rPr>
      <t xml:space="preserve">Finding Equilibrium Constant with Unit Conversions </t>
    </r>
    <r>
      <rPr>
        <sz val="11"/>
        <color theme="1"/>
        <rFont val="Calibri"/>
        <family val="2"/>
        <scheme val="minor"/>
      </rPr>
      <t xml:space="preserve"> </t>
    </r>
  </si>
  <si>
    <t>F9 to see value of cells in function</t>
  </si>
  <si>
    <r>
      <t xml:space="preserve">↓ P </t>
    </r>
    <r>
      <rPr>
        <sz val="11"/>
        <color rgb="FF202122"/>
        <rFont val="Calibri"/>
        <family val="2"/>
        <scheme val="minor"/>
      </rPr>
      <t xml:space="preserve">Reactants, ↑ </t>
    </r>
    <r>
      <rPr>
        <i/>
        <sz val="11"/>
        <color rgb="FF202122"/>
        <rFont val="Calibri"/>
        <family val="2"/>
        <scheme val="minor"/>
      </rPr>
      <t>P</t>
    </r>
    <r>
      <rPr>
        <sz val="11"/>
        <color rgb="FF202122"/>
        <rFont val="Calibri"/>
        <family val="2"/>
        <scheme val="minor"/>
      </rPr>
      <t xml:space="preserve"> Products</t>
    </r>
  </si>
  <si>
    <t>Shift Reaction to Left</t>
  </si>
  <si>
    <t>Shift Reaction to Right</t>
  </si>
  <si>
    <r>
      <t xml:space="preserve">↑ P </t>
    </r>
    <r>
      <rPr>
        <sz val="11"/>
        <color rgb="FF202122"/>
        <rFont val="Calibri"/>
        <family val="2"/>
        <scheme val="minor"/>
      </rPr>
      <t xml:space="preserve">Reactants, ↓ </t>
    </r>
    <r>
      <rPr>
        <i/>
        <sz val="11"/>
        <color rgb="FF202122"/>
        <rFont val="Calibri"/>
        <family val="2"/>
        <scheme val="minor"/>
      </rPr>
      <t>P</t>
    </r>
    <r>
      <rPr>
        <sz val="11"/>
        <color rgb="FF202122"/>
        <rFont val="Calibri"/>
        <family val="2"/>
        <scheme val="minor"/>
      </rPr>
      <t xml:space="preserve"> Products</t>
    </r>
  </si>
  <si>
    <r>
      <t xml:space="preserve">Δn gas </t>
    </r>
    <r>
      <rPr>
        <sz val="11"/>
        <color theme="1"/>
        <rFont val="Calibri"/>
        <family val="2"/>
        <scheme val="minor"/>
      </rPr>
      <t>= change in number of moles of gasses (products-reactants)</t>
    </r>
  </si>
  <si>
    <t xml:space="preserve">K = </t>
  </si>
  <si>
    <r>
      <rPr>
        <sz val="11"/>
        <color theme="1"/>
        <rFont val="Calibri"/>
        <family val="2"/>
        <scheme val="minor"/>
      </rPr>
      <t>Numeric Value of</t>
    </r>
    <r>
      <rPr>
        <i/>
        <sz val="11"/>
        <color theme="1"/>
        <rFont val="Calibri"/>
        <family val="2"/>
        <scheme val="minor"/>
      </rPr>
      <t xml:space="preserve"> K = </t>
    </r>
  </si>
  <si>
    <r>
      <t>K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* (</t>
    </r>
    <r>
      <rPr>
        <i/>
        <sz val="11"/>
        <color theme="1"/>
        <rFont val="Calibri"/>
        <family val="2"/>
        <scheme val="minor"/>
      </rPr>
      <t>RT</t>
    </r>
    <r>
      <rPr>
        <sz val="11"/>
        <color theme="1"/>
        <rFont val="Calibri"/>
        <family val="2"/>
        <scheme val="minor"/>
      </rPr>
      <t xml:space="preserve">) </t>
    </r>
    <r>
      <rPr>
        <vertAlign val="superscript"/>
        <sz val="11"/>
        <color theme="1"/>
        <rFont val="Calibri"/>
        <family val="2"/>
        <scheme val="minor"/>
      </rPr>
      <t>-Δ</t>
    </r>
    <r>
      <rPr>
        <i/>
        <vertAlign val="superscript"/>
        <sz val="11"/>
        <color theme="1"/>
        <rFont val="Calibri"/>
        <family val="2"/>
        <scheme val="minor"/>
      </rPr>
      <t xml:space="preserve">n </t>
    </r>
    <r>
      <rPr>
        <vertAlign val="superscript"/>
        <sz val="11"/>
        <color theme="1"/>
        <rFont val="Calibri"/>
        <family val="2"/>
        <scheme val="minor"/>
      </rPr>
      <t>gas</t>
    </r>
  </si>
  <si>
    <r>
      <t>K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* (</t>
    </r>
    <r>
      <rPr>
        <i/>
        <sz val="11"/>
        <color theme="1"/>
        <rFont val="Calibri"/>
        <family val="2"/>
        <scheme val="minor"/>
      </rPr>
      <t>RT</t>
    </r>
    <r>
      <rPr>
        <sz val="11"/>
        <color theme="1"/>
        <rFont val="Calibri"/>
        <family val="2"/>
        <scheme val="minor"/>
      </rPr>
      <t xml:space="preserve">) </t>
    </r>
    <r>
      <rPr>
        <vertAlign val="superscript"/>
        <sz val="11"/>
        <color theme="1"/>
        <rFont val="Calibri"/>
        <family val="2"/>
        <scheme val="minor"/>
      </rPr>
      <t>Δ</t>
    </r>
    <r>
      <rPr>
        <i/>
        <vertAlign val="superscript"/>
        <sz val="11"/>
        <color theme="1"/>
        <rFont val="Calibri"/>
        <family val="2"/>
        <scheme val="minor"/>
      </rPr>
      <t xml:space="preserve">n </t>
    </r>
    <r>
      <rPr>
        <vertAlign val="superscript"/>
        <sz val="11"/>
        <color theme="1"/>
        <rFont val="Calibri"/>
        <family val="2"/>
        <scheme val="minor"/>
      </rPr>
      <t>gas</t>
    </r>
  </si>
  <si>
    <r>
      <t xml:space="preserve">Stoichiometric Coefficient </t>
    </r>
    <r>
      <rPr>
        <i/>
        <sz val="11"/>
        <color theme="1"/>
        <rFont val="Calibri"/>
        <family val="2"/>
        <scheme val="minor"/>
      </rPr>
      <t>v</t>
    </r>
  </si>
  <si>
    <t xml:space="preserve">x = </t>
  </si>
  <si>
    <t>and/or</t>
  </si>
  <si>
    <r>
      <t>Using Quadratic Formula ax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bx + c = 0</t>
    </r>
  </si>
  <si>
    <t xml:space="preserve">Target Compound Equilibrium </t>
  </si>
  <si>
    <t>Target Compound A,B,C,or D</t>
  </si>
  <si>
    <t>Check the values</t>
  </si>
  <si>
    <r>
      <t>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x value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</si>
  <si>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x value</t>
    </r>
  </si>
  <si>
    <t>Change in x (enter 1 for x)</t>
  </si>
  <si>
    <r>
      <rPr>
        <sz val="11"/>
        <color theme="1"/>
        <rFont val="Calibri"/>
        <family val="2"/>
        <scheme val="minor"/>
      </rPr>
      <t xml:space="preserve">Stoich # </t>
    </r>
    <r>
      <rPr>
        <i/>
        <sz val="11"/>
        <color theme="1"/>
        <rFont val="Calibri"/>
        <family val="2"/>
        <scheme val="minor"/>
      </rPr>
      <t>v</t>
    </r>
  </si>
  <si>
    <t>Single Elements</t>
  </si>
  <si>
    <t>Finding Equilibrium Concentrations from Initial Concentrations</t>
  </si>
  <si>
    <t>A,B,C,D,or KC</t>
  </si>
  <si>
    <t>kc</t>
  </si>
  <si>
    <t>M</t>
  </si>
  <si>
    <r>
      <t xml:space="preserve">Stoich # </t>
    </r>
    <r>
      <rPr>
        <i/>
        <sz val="11"/>
        <color theme="1"/>
        <rFont val="Calibri"/>
        <family val="2"/>
        <scheme val="minor"/>
      </rPr>
      <t>v</t>
    </r>
  </si>
  <si>
    <t>(-x)</t>
  </si>
  <si>
    <t>L or ml</t>
  </si>
  <si>
    <t>Enter "-x" as "(-x)"</t>
  </si>
  <si>
    <t>H2</t>
  </si>
  <si>
    <r>
      <t xml:space="preserve">Calculating 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from a Partial Equilibrium Composition</t>
    </r>
  </si>
  <si>
    <t>Equilibrium in Molartiy (Formula)</t>
  </si>
  <si>
    <t>Equilibrium in Molartiy (Value)</t>
  </si>
  <si>
    <r>
      <t>x</t>
    </r>
    <r>
      <rPr>
        <sz val="11"/>
        <color theme="1"/>
        <rFont val="Calibri"/>
        <family val="2"/>
        <scheme val="minor"/>
      </rPr>
      <t xml:space="preserve"> Given Value</t>
    </r>
  </si>
  <si>
    <t xml:space="preserve"> (A,B,C, or D)</t>
  </si>
  <si>
    <r>
      <t>v</t>
    </r>
    <r>
      <rPr>
        <sz val="11"/>
        <color theme="1"/>
        <rFont val="Calibri"/>
        <family val="2"/>
        <scheme val="minor"/>
      </rPr>
      <t xml:space="preserve"> in terms of</t>
    </r>
  </si>
  <si>
    <r>
      <rPr>
        <i/>
        <sz val="10"/>
        <color theme="1"/>
        <rFont val="Calibri"/>
        <family val="2"/>
        <scheme val="minor"/>
      </rPr>
      <t>x</t>
    </r>
    <r>
      <rPr>
        <sz val="10"/>
        <color theme="1"/>
        <rFont val="Calibri"/>
        <family val="2"/>
        <scheme val="minor"/>
      </rPr>
      <t xml:space="preserve"> adjusted to vol.</t>
    </r>
  </si>
  <si>
    <r>
      <rPr>
        <sz val="11"/>
        <color theme="1"/>
        <rFont val="Calibri"/>
        <family val="2"/>
        <scheme val="minor"/>
      </rPr>
      <t xml:space="preserve">Numeric Value </t>
    </r>
    <r>
      <rPr>
        <i/>
        <sz val="11"/>
        <color theme="1"/>
        <rFont val="Calibri"/>
        <family val="2"/>
        <scheme val="minor"/>
      </rPr>
      <t xml:space="preserve"> K</t>
    </r>
    <r>
      <rPr>
        <vertAlign val="subscript"/>
        <sz val="11"/>
        <color theme="1"/>
        <rFont val="Calibri"/>
        <family val="2"/>
        <scheme val="minor"/>
      </rPr>
      <t>C</t>
    </r>
    <r>
      <rPr>
        <i/>
        <sz val="11"/>
        <color theme="1"/>
        <rFont val="Calibri"/>
        <family val="2"/>
        <scheme val="minor"/>
      </rPr>
      <t xml:space="preserve"> = </t>
    </r>
  </si>
  <si>
    <t>Change in Molarity (sign only)</t>
  </si>
  <si>
    <r>
      <t xml:space="preserve">Flask Volume </t>
    </r>
    <r>
      <rPr>
        <sz val="8"/>
        <color theme="1"/>
        <rFont val="Calibri"/>
        <family val="2"/>
        <scheme val="minor"/>
      </rPr>
      <t>(if using atm enter 1)</t>
    </r>
  </si>
  <si>
    <t>If given moles in place of grams, leave Molar Mass blank and enter moles values in grams column</t>
  </si>
  <si>
    <t>Equilibrium Constant and Concentrations</t>
  </si>
  <si>
    <t>Leave blank if cell is not used or if solid or liquid in heterogenious composition</t>
  </si>
  <si>
    <r>
      <t>[A]</t>
    </r>
    <r>
      <rPr>
        <vertAlign val="subscript"/>
        <sz val="11"/>
        <color theme="1"/>
        <rFont val="Calibri"/>
        <family val="2"/>
        <scheme val="minor"/>
      </rPr>
      <t>Reactant</t>
    </r>
  </si>
  <si>
    <r>
      <t>[B]</t>
    </r>
    <r>
      <rPr>
        <vertAlign val="subscript"/>
        <sz val="11"/>
        <color theme="1"/>
        <rFont val="Calibri"/>
        <family val="2"/>
        <scheme val="minor"/>
      </rPr>
      <t>Reactant</t>
    </r>
  </si>
  <si>
    <r>
      <t>[C]</t>
    </r>
    <r>
      <rPr>
        <vertAlign val="subscript"/>
        <sz val="11"/>
        <color theme="1"/>
        <rFont val="Calibri"/>
        <family val="2"/>
        <scheme val="minor"/>
      </rPr>
      <t>Product</t>
    </r>
  </si>
  <si>
    <r>
      <t>[D]</t>
    </r>
    <r>
      <rPr>
        <vertAlign val="subscript"/>
        <sz val="11"/>
        <color theme="1"/>
        <rFont val="Calibri"/>
        <family val="2"/>
        <scheme val="minor"/>
      </rPr>
      <t>Product</t>
    </r>
  </si>
  <si>
    <t>Enter "0" or leave cell blank for unused values or for solids/liquids</t>
  </si>
  <si>
    <t>BaSO4</t>
  </si>
  <si>
    <r>
      <t xml:space="preserve">Using </t>
    </r>
    <r>
      <rPr>
        <b/>
        <i/>
        <sz val="11"/>
        <color theme="1"/>
        <rFont val="Calibri"/>
        <family val="2"/>
        <scheme val="minor"/>
      </rPr>
      <t>K</t>
    </r>
    <r>
      <rPr>
        <b/>
        <i/>
        <vertAlign val="subscript"/>
        <sz val="11"/>
        <color theme="1"/>
        <rFont val="Calibri"/>
        <family val="2"/>
        <scheme val="minor"/>
      </rPr>
      <t>SP</t>
    </r>
    <r>
      <rPr>
        <b/>
        <sz val="11"/>
        <color theme="1"/>
        <rFont val="Calibri"/>
        <family val="2"/>
        <scheme val="minor"/>
      </rPr>
      <t xml:space="preserve"> to Calculate Solubility of a Compound</t>
    </r>
  </si>
  <si>
    <t>Solid</t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</si>
  <si>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SP</t>
    </r>
    <r>
      <rPr>
        <sz val="11"/>
        <color theme="1"/>
        <rFont val="Calibri"/>
        <family val="2"/>
        <scheme val="minor"/>
      </rPr>
      <t xml:space="preserve"> 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</si>
  <si>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SP</t>
    </r>
    <r>
      <rPr>
        <sz val="11"/>
        <color theme="1"/>
        <rFont val="Calibri"/>
        <family val="2"/>
        <scheme val="minor"/>
      </rPr>
      <t xml:space="preserve"> Formula</t>
    </r>
  </si>
  <si>
    <t>Molar Solubility</t>
  </si>
  <si>
    <t>Molar Mass of Solid (mol/g)</t>
  </si>
  <si>
    <t>Molar Solubility (mol/L)</t>
  </si>
  <si>
    <t>Solubility of Solid</t>
  </si>
  <si>
    <t>g/L</t>
  </si>
  <si>
    <t>g</t>
  </si>
  <si>
    <t>Fe(OH)2</t>
  </si>
  <si>
    <t>AgCl</t>
  </si>
  <si>
    <t>PbCrO4</t>
  </si>
  <si>
    <t>Formula</t>
  </si>
  <si>
    <t>CuBr</t>
  </si>
  <si>
    <t>AgBr</t>
  </si>
  <si>
    <t>AuCl</t>
  </si>
  <si>
    <t>Ksp</t>
  </si>
  <si>
    <t>BaCrO4</t>
  </si>
  <si>
    <t>CaCO3</t>
  </si>
  <si>
    <t>CaF2</t>
  </si>
  <si>
    <t>Co(OH)2</t>
  </si>
  <si>
    <t>CuCO3</t>
  </si>
  <si>
    <t>PbCO3</t>
  </si>
  <si>
    <t>PbF2</t>
  </si>
  <si>
    <t>Mg(OH)2</t>
  </si>
  <si>
    <t>Ni(OH)2</t>
  </si>
  <si>
    <t>AgBrO3</t>
  </si>
  <si>
    <t>Ag2CO3</t>
  </si>
  <si>
    <t>Ag2CrO4</t>
  </si>
  <si>
    <t>SrCO3</t>
  </si>
  <si>
    <t>ZnCO3</t>
  </si>
  <si>
    <t>Zn(OH)2</t>
  </si>
  <si>
    <t>substance</t>
  </si>
  <si>
    <t>Hf (kJ/mol)</t>
  </si>
  <si>
    <t>Gf (kJ/mol)</t>
  </si>
  <si>
    <t>S (J/mol·K)</t>
  </si>
  <si>
    <t>Aluminum</t>
  </si>
  <si>
    <t>Al3+ (aq)</t>
  </si>
  <si>
    <t>---</t>
  </si>
  <si>
    <t>Al (s)</t>
  </si>
  <si>
    <t>Al2O3 (s)</t>
  </si>
  <si>
    <t>Al(OH)3 (s)</t>
  </si>
  <si>
    <t>Bromine</t>
  </si>
  <si>
    <t>Br- (aq)</t>
  </si>
  <si>
    <t>Br2 (l)</t>
  </si>
  <si>
    <t>Br2 (g)</t>
  </si>
  <si>
    <t>HBr (g)</t>
  </si>
  <si>
    <t>Calcium</t>
  </si>
  <si>
    <t>Ca2+ (aq)</t>
  </si>
  <si>
    <t>CaCl2 (s)</t>
  </si>
  <si>
    <t>CaO (s)</t>
  </si>
  <si>
    <t>Ca(OH)2 (s)</t>
  </si>
  <si>
    <t>Ca3(PO4)2 (s)</t>
  </si>
  <si>
    <t>Carbon</t>
  </si>
  <si>
    <t>C (s)</t>
  </si>
  <si>
    <t>CCl4 (g)</t>
  </si>
  <si>
    <t>CCl4 (l)</t>
  </si>
  <si>
    <t>CCl4 (s)</t>
  </si>
  <si>
    <t>CH4 (g)</t>
  </si>
  <si>
    <t>C2H2 (g)</t>
  </si>
  <si>
    <t>C2H6 (g)</t>
  </si>
  <si>
    <t>C3H8 (g)</t>
  </si>
  <si>
    <t>C4H10 (g)</t>
  </si>
  <si>
    <t>C4H10 (l)</t>
  </si>
  <si>
    <t>C6H6 (l)</t>
  </si>
  <si>
    <t>C6H6 (g)</t>
  </si>
  <si>
    <t>CH3OH (l)</t>
  </si>
  <si>
    <t>CH3OH (g)</t>
  </si>
  <si>
    <t>(CH3)2(CH2)2O (l)</t>
  </si>
  <si>
    <t>C6H12O6 (s)</t>
  </si>
  <si>
    <t>CO (g)</t>
  </si>
  <si>
    <t>CO2 (g)</t>
  </si>
  <si>
    <t>C2H5OH (l)</t>
  </si>
  <si>
    <t>C2H5OH (g)</t>
  </si>
  <si>
    <t>HCH3CO2 (l)</t>
  </si>
  <si>
    <t>HCH3CO2 (s)</t>
  </si>
  <si>
    <t>HCH3CO2 (g)</t>
  </si>
  <si>
    <t>HCN (l)</t>
  </si>
  <si>
    <t>HCN (g)</t>
  </si>
  <si>
    <t>CS2 (s)</t>
  </si>
  <si>
    <t>CS2 (l)</t>
  </si>
  <si>
    <t>CS2 (g)</t>
  </si>
  <si>
    <t>Chlorine</t>
  </si>
  <si>
    <t>Cl2 (g)</t>
  </si>
  <si>
    <t>Cl- (aq)</t>
  </si>
  <si>
    <t>HCl (aq)</t>
  </si>
  <si>
    <t>HCl (g)</t>
  </si>
  <si>
    <t>Chromium</t>
  </si>
  <si>
    <t>CrO42- (aq)</t>
  </si>
  <si>
    <t>Fluorine</t>
  </si>
  <si>
    <t>F2 (g)</t>
  </si>
  <si>
    <t>HF (g)</t>
  </si>
  <si>
    <t>Hydrogen</t>
  </si>
  <si>
    <t>H2 (g)</t>
  </si>
  <si>
    <t>Iron</t>
  </si>
  <si>
    <t>Fe (s)</t>
  </si>
  <si>
    <t>FeCl3 (s)</t>
  </si>
  <si>
    <t>Fe2O3 (s)</t>
  </si>
  <si>
    <t>Lead</t>
  </si>
  <si>
    <t>Pb2+ (aq)</t>
  </si>
  <si>
    <t>PbBr2 (s)</t>
  </si>
  <si>
    <t>PbS (s)</t>
  </si>
  <si>
    <t>PbSO4 (s)</t>
  </si>
  <si>
    <t>Magnesium</t>
  </si>
  <si>
    <t>MgCl2 (s)</t>
  </si>
  <si>
    <t>MgO (s)</t>
  </si>
  <si>
    <t>Mercury</t>
  </si>
  <si>
    <t>Hg (g)</t>
  </si>
  <si>
    <t>Hg (l)</t>
  </si>
  <si>
    <t>Hg (s)</t>
  </si>
  <si>
    <t>Hg22+ (aq)</t>
  </si>
  <si>
    <t>Hg2Cl2 (s)</t>
  </si>
  <si>
    <t>Nitrogen</t>
  </si>
  <si>
    <t>N2 (g)</t>
  </si>
  <si>
    <t>N2H4 (g)</t>
  </si>
  <si>
    <t>N2H4 (l)</t>
  </si>
  <si>
    <t>NH3 (g)</t>
  </si>
  <si>
    <t>NH3 (l)</t>
  </si>
  <si>
    <t>NH4NO3 (s)</t>
  </si>
  <si>
    <t>NO (g)</t>
  </si>
  <si>
    <t>NO2 (g)</t>
  </si>
  <si>
    <t>NOCl (g)</t>
  </si>
  <si>
    <t>N2O4 (g)</t>
  </si>
  <si>
    <t>HNO2 (g)</t>
  </si>
  <si>
    <t>HNO3 (l)</t>
  </si>
  <si>
    <t>HNO3 (g)</t>
  </si>
  <si>
    <t>OH- (aq)</t>
  </si>
  <si>
    <t>H2O (l)</t>
  </si>
  <si>
    <t>H2O (g)</t>
  </si>
  <si>
    <t>O2 (g)</t>
  </si>
  <si>
    <t>H2O2 (l)</t>
  </si>
  <si>
    <t>H2O2 (g)</t>
  </si>
  <si>
    <t>Phosphorus</t>
  </si>
  <si>
    <t>P4 (s)</t>
  </si>
  <si>
    <t>P4 (g)</t>
  </si>
  <si>
    <t>PCl3 (g)</t>
  </si>
  <si>
    <t>PCl3 (l)</t>
  </si>
  <si>
    <t>PF5 (g)</t>
  </si>
  <si>
    <t>PO43- (aq)</t>
  </si>
  <si>
    <t>H3PO4 (l)</t>
  </si>
  <si>
    <t>H3PO4 (s)</t>
  </si>
  <si>
    <t>P4O10 (s)</t>
  </si>
  <si>
    <t>Potassium</t>
  </si>
  <si>
    <t>KBr (s)</t>
  </si>
  <si>
    <t>KNO3 (s)</t>
  </si>
  <si>
    <t>Silver</t>
  </si>
  <si>
    <t>Ag+ (aq)</t>
  </si>
  <si>
    <t>Ag2CrO4 (s)</t>
  </si>
  <si>
    <t>Sodium</t>
  </si>
  <si>
    <t>NaCl (s)</t>
  </si>
  <si>
    <t>NaOH (s)</t>
  </si>
  <si>
    <t>Sulfur</t>
  </si>
  <si>
    <t>S8 (s)</t>
  </si>
  <si>
    <t>H2S (g)</t>
  </si>
  <si>
    <t>H2SO4 (l)</t>
  </si>
  <si>
    <t>SF6 (g)</t>
  </si>
  <si>
    <t>Tin</t>
  </si>
  <si>
    <t>Sn (s)</t>
  </si>
  <si>
    <t>SnO2 (s)</t>
  </si>
  <si>
    <t>Titanium</t>
  </si>
  <si>
    <t>TiCl4 (g)</t>
  </si>
  <si>
    <t>TiCl4 (l)</t>
  </si>
  <si>
    <t>TiO2 (s)</t>
  </si>
  <si>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= (kJ)</t>
    </r>
  </si>
  <si>
    <t>Thermodynamic Properties of Pure Substances</t>
  </si>
  <si>
    <r>
      <rPr>
        <b/>
        <sz val="11"/>
        <color theme="1"/>
        <rFont val="Calibri"/>
        <family val="2"/>
        <scheme val="minor"/>
      </rPr>
      <t xml:space="preserve">Using Solubility of a Compound to Calculate 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SP</t>
    </r>
  </si>
  <si>
    <t>Cation</t>
  </si>
  <si>
    <t>Anion</t>
  </si>
  <si>
    <t>v</t>
  </si>
  <si>
    <t>Solubility g/L</t>
  </si>
  <si>
    <r>
      <t>K</t>
    </r>
    <r>
      <rPr>
        <vertAlign val="subscript"/>
        <sz val="11"/>
        <color theme="1"/>
        <rFont val="Calibri"/>
        <family val="2"/>
        <scheme val="minor"/>
      </rPr>
      <t>SP</t>
    </r>
  </si>
  <si>
    <t>Use Molarity of Given Sln for Initial Molarity of Common Ion</t>
  </si>
  <si>
    <t>Default Initial Molairty to "0" for Pure Water Sln</t>
  </si>
  <si>
    <t>Molar Solubility Estimate (mol/L)</t>
  </si>
  <si>
    <r>
      <t>NH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(aq)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O(</t>
    </r>
    <r>
      <rPr>
        <i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) ⇄ NH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>(aq) + 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>(aq)</t>
    </r>
  </si>
  <si>
    <t>Weaker Acid + Weaker Base ⇄ Stronger Acid + Stronger Base</t>
  </si>
  <si>
    <r>
      <t>HA(aq)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O(</t>
    </r>
    <r>
      <rPr>
        <i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) ⇄ 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O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>(aq)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A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>(aq)</t>
    </r>
  </si>
  <si>
    <r>
      <t>Base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+ Acid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⇄ Acid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+ Base</t>
    </r>
    <r>
      <rPr>
        <vertAlign val="subscript"/>
        <sz val="11"/>
        <color theme="1"/>
        <rFont val="Calibri"/>
        <family val="2"/>
        <scheme val="minor"/>
      </rPr>
      <t>2</t>
    </r>
  </si>
  <si>
    <r>
      <t>Hint</t>
    </r>
    <r>
      <rPr>
        <sz val="11"/>
        <color theme="1"/>
        <rFont val="Calibri"/>
        <family val="2"/>
        <scheme val="minor"/>
      </rPr>
      <t>: For Congugate Base, Add One 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to Formula</t>
    </r>
  </si>
  <si>
    <r>
      <rPr>
        <i/>
        <sz val="11"/>
        <color theme="1"/>
        <rFont val="Calibri"/>
        <family val="2"/>
        <scheme val="minor"/>
      </rPr>
      <t>Hint</t>
    </r>
    <r>
      <rPr>
        <sz val="11"/>
        <color theme="1"/>
        <rFont val="Calibri"/>
        <family val="2"/>
        <scheme val="minor"/>
      </rPr>
      <t>: For Congugate Acid, Remove One H</t>
    </r>
    <r>
      <rPr>
        <vertAlign val="superscript"/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>from Formula</t>
    </r>
  </si>
  <si>
    <t>Looks for an exact match. Must enter space between compound and phase.</t>
  </si>
  <si>
    <t>gf</t>
  </si>
  <si>
    <r>
      <t>Step 2: Calculate Heat Needed (</t>
    </r>
    <r>
      <rPr>
        <b/>
        <i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i/>
        <sz val="11"/>
        <color theme="1"/>
        <rFont val="Calibri"/>
        <family val="2"/>
        <scheme val="minor"/>
      </rPr>
      <t>m*c*</t>
    </r>
    <r>
      <rPr>
        <b/>
        <sz val="11"/>
        <color theme="1"/>
        <rFont val="Calibri"/>
        <family val="2"/>
        <scheme val="minor"/>
      </rPr>
      <t>∆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)</t>
    </r>
  </si>
  <si>
    <r>
      <t xml:space="preserve">q </t>
    </r>
    <r>
      <rPr>
        <sz val="11"/>
        <color theme="1"/>
        <rFont val="Calibri"/>
        <family val="2"/>
        <scheme val="minor"/>
      </rPr>
      <t>inJ</t>
    </r>
  </si>
  <si>
    <t>Conjugate acid and base examples</t>
  </si>
  <si>
    <t>NO3-</t>
  </si>
  <si>
    <t>NO</t>
  </si>
  <si>
    <r>
      <t xml:space="preserve">If Common Ion compound has multiple ions, don't change </t>
    </r>
    <r>
      <rPr>
        <i/>
        <sz val="10"/>
        <color theme="1"/>
        <rFont val="Calibri"/>
        <family val="2"/>
        <scheme val="minor"/>
      </rPr>
      <t>v</t>
    </r>
    <r>
      <rPr>
        <sz val="10"/>
        <color theme="1"/>
        <rFont val="Calibri"/>
        <family val="2"/>
        <scheme val="minor"/>
      </rPr>
      <t>, multiply Initial mol/L</t>
    </r>
  </si>
  <si>
    <t>Initial mol of products will be 0 because the rxn has not occurred yet.</t>
  </si>
  <si>
    <t xml:space="preserve">Polyprotic acid = an acid with more than one acidic hydrogen. </t>
  </si>
  <si>
    <t>Initial Compound</t>
  </si>
  <si>
    <t>Initial Solution</t>
  </si>
  <si>
    <t>Limiting Reactant Problems in Solution</t>
  </si>
  <si>
    <t>Precipitate Formed</t>
  </si>
  <si>
    <t>Ion from Compound</t>
  </si>
  <si>
    <t>Given Amounts</t>
  </si>
  <si>
    <t>Ion from Solution</t>
  </si>
  <si>
    <t>anions</t>
  </si>
  <si>
    <t>chloride</t>
  </si>
  <si>
    <t>bromide</t>
  </si>
  <si>
    <t>iodide</t>
  </si>
  <si>
    <t>oxide</t>
  </si>
  <si>
    <t>sulfide</t>
  </si>
  <si>
    <t>hydroxide</t>
  </si>
  <si>
    <t>carbonate</t>
  </si>
  <si>
    <t>chromate</t>
  </si>
  <si>
    <t>sulfate</t>
  </si>
  <si>
    <t>acetate</t>
  </si>
  <si>
    <t>nitrate</t>
  </si>
  <si>
    <t>cations</t>
  </si>
  <si>
    <t>yes</t>
  </si>
  <si>
    <t>--</t>
  </si>
  <si>
    <t>Na+</t>
  </si>
  <si>
    <t>rxn</t>
  </si>
  <si>
    <t>slight</t>
  </si>
  <si>
    <t>=</t>
  </si>
  <si>
    <t>no data</t>
  </si>
  <si>
    <t>compound reacts with water</t>
  </si>
  <si>
    <t>soluble (s &gt; 10 g/L)</t>
  </si>
  <si>
    <t>slightly soluble (1 g/L &lt; s &lt; 10 g/L)</t>
  </si>
  <si>
    <t>insoluble (s &lt; 1 g/L)</t>
  </si>
  <si>
    <t>Solubility of Ions in Water</t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</si>
  <si>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+</t>
    </r>
  </si>
  <si>
    <r>
      <t>Na</t>
    </r>
    <r>
      <rPr>
        <vertAlign val="superscript"/>
        <sz val="11"/>
        <color theme="1"/>
        <rFont val="Calibri"/>
        <family val="2"/>
        <scheme val="minor"/>
      </rPr>
      <t>+</t>
    </r>
  </si>
  <si>
    <r>
      <t>K</t>
    </r>
    <r>
      <rPr>
        <vertAlign val="superscript"/>
        <sz val="11"/>
        <color theme="1"/>
        <rFont val="Calibri"/>
        <family val="2"/>
        <scheme val="minor"/>
      </rPr>
      <t>+</t>
    </r>
  </si>
  <si>
    <r>
      <t>Ag</t>
    </r>
    <r>
      <rPr>
        <vertAlign val="superscript"/>
        <sz val="11"/>
        <color theme="1"/>
        <rFont val="Calibri"/>
        <family val="2"/>
        <scheme val="minor"/>
      </rPr>
      <t>+</t>
    </r>
  </si>
  <si>
    <r>
      <t>Mg(OH)</t>
    </r>
    <r>
      <rPr>
        <vertAlign val="subscript"/>
        <sz val="11"/>
        <color theme="1"/>
        <rFont val="Calibri"/>
        <family val="2"/>
        <scheme val="minor"/>
      </rPr>
      <t>2</t>
    </r>
  </si>
  <si>
    <r>
      <t>Co(OH)</t>
    </r>
    <r>
      <rPr>
        <vertAlign val="subscript"/>
        <sz val="11"/>
        <color theme="1"/>
        <rFont val="Calibri"/>
        <family val="2"/>
        <scheme val="minor"/>
      </rPr>
      <t>2</t>
    </r>
  </si>
  <si>
    <r>
      <t>Cl</t>
    </r>
    <r>
      <rPr>
        <vertAlign val="superscript"/>
        <sz val="11"/>
        <color theme="1"/>
        <rFont val="Calibri"/>
        <family val="2"/>
        <scheme val="minor"/>
      </rPr>
      <t>-</t>
    </r>
  </si>
  <si>
    <r>
      <t>Br</t>
    </r>
    <r>
      <rPr>
        <vertAlign val="superscript"/>
        <sz val="11"/>
        <color theme="1"/>
        <rFont val="Calibri"/>
        <family val="2"/>
        <scheme val="minor"/>
      </rPr>
      <t>-</t>
    </r>
  </si>
  <si>
    <r>
      <t>I</t>
    </r>
    <r>
      <rPr>
        <vertAlign val="superscript"/>
        <sz val="11"/>
        <color theme="1"/>
        <rFont val="Calibri"/>
        <family val="2"/>
        <scheme val="minor"/>
      </rPr>
      <t>-</t>
    </r>
  </si>
  <si>
    <r>
      <t>OH</t>
    </r>
    <r>
      <rPr>
        <vertAlign val="superscript"/>
        <sz val="11"/>
        <color theme="1"/>
        <rFont val="Calibri"/>
        <family val="2"/>
        <scheme val="minor"/>
      </rPr>
      <t>-</t>
    </r>
  </si>
  <si>
    <r>
      <t>CrO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2-</t>
    </r>
  </si>
  <si>
    <r>
      <t>SO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2-</t>
    </r>
  </si>
  <si>
    <r>
      <t>CH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-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</si>
  <si>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</si>
  <si>
    <r>
      <t>BaCrO</t>
    </r>
    <r>
      <rPr>
        <vertAlign val="subscript"/>
        <sz val="11"/>
        <color theme="1"/>
        <rFont val="Calibri"/>
        <family val="2"/>
        <scheme val="minor"/>
      </rPr>
      <t>4</t>
    </r>
  </si>
  <si>
    <r>
      <t>BaSO</t>
    </r>
    <r>
      <rPr>
        <vertAlign val="subscript"/>
        <sz val="11"/>
        <color theme="1"/>
        <rFont val="Calibri"/>
        <family val="2"/>
        <scheme val="minor"/>
      </rPr>
      <t>4</t>
    </r>
  </si>
  <si>
    <r>
      <t>CaCO</t>
    </r>
    <r>
      <rPr>
        <vertAlign val="subscript"/>
        <sz val="11"/>
        <color theme="1"/>
        <rFont val="Calibri"/>
        <family val="2"/>
        <scheme val="minor"/>
      </rPr>
      <t>3</t>
    </r>
  </si>
  <si>
    <r>
      <t>CaF</t>
    </r>
    <r>
      <rPr>
        <vertAlign val="subscript"/>
        <sz val="11"/>
        <color theme="1"/>
        <rFont val="Calibri"/>
        <family val="2"/>
        <scheme val="minor"/>
      </rPr>
      <t>2</t>
    </r>
  </si>
  <si>
    <r>
      <t>CuCO</t>
    </r>
    <r>
      <rPr>
        <vertAlign val="subscript"/>
        <sz val="11"/>
        <color theme="1"/>
        <rFont val="Calibri"/>
        <family val="2"/>
        <scheme val="minor"/>
      </rPr>
      <t>3</t>
    </r>
  </si>
  <si>
    <r>
      <t>Fe(OH)</t>
    </r>
    <r>
      <rPr>
        <vertAlign val="subscript"/>
        <sz val="11"/>
        <color theme="1"/>
        <rFont val="Calibri"/>
        <family val="2"/>
        <scheme val="minor"/>
      </rPr>
      <t>2</t>
    </r>
  </si>
  <si>
    <r>
      <t>PbCO</t>
    </r>
    <r>
      <rPr>
        <vertAlign val="subscript"/>
        <sz val="11"/>
        <color theme="1"/>
        <rFont val="Calibri"/>
        <family val="2"/>
        <scheme val="minor"/>
      </rPr>
      <t>3</t>
    </r>
  </si>
  <si>
    <r>
      <t>PbCrO</t>
    </r>
    <r>
      <rPr>
        <vertAlign val="subscript"/>
        <sz val="11"/>
        <color theme="1"/>
        <rFont val="Calibri"/>
        <family val="2"/>
        <scheme val="minor"/>
      </rPr>
      <t>4</t>
    </r>
  </si>
  <si>
    <r>
      <t>PbF</t>
    </r>
    <r>
      <rPr>
        <vertAlign val="subscript"/>
        <sz val="11"/>
        <color theme="1"/>
        <rFont val="Calibri"/>
        <family val="2"/>
        <scheme val="minor"/>
      </rPr>
      <t>2</t>
    </r>
  </si>
  <si>
    <r>
      <t>Ni(OH)</t>
    </r>
    <r>
      <rPr>
        <vertAlign val="subscript"/>
        <sz val="11"/>
        <color theme="1"/>
        <rFont val="Calibri"/>
        <family val="2"/>
        <scheme val="minor"/>
      </rPr>
      <t>2</t>
    </r>
  </si>
  <si>
    <r>
      <t>AgBrO</t>
    </r>
    <r>
      <rPr>
        <vertAlign val="subscript"/>
        <sz val="11"/>
        <color theme="1"/>
        <rFont val="Calibri"/>
        <family val="2"/>
        <scheme val="minor"/>
      </rPr>
      <t>3</t>
    </r>
  </si>
  <si>
    <r>
      <t>Ag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CO</t>
    </r>
    <r>
      <rPr>
        <vertAlign val="subscript"/>
        <sz val="11"/>
        <color theme="1"/>
        <rFont val="Calibri"/>
        <family val="2"/>
        <scheme val="minor"/>
      </rPr>
      <t>3</t>
    </r>
  </si>
  <si>
    <r>
      <t>Ag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CrO</t>
    </r>
    <r>
      <rPr>
        <vertAlign val="subscript"/>
        <sz val="11"/>
        <color theme="1"/>
        <rFont val="Calibri"/>
        <family val="2"/>
        <scheme val="minor"/>
      </rPr>
      <t>4</t>
    </r>
  </si>
  <si>
    <r>
      <t>SrCO</t>
    </r>
    <r>
      <rPr>
        <vertAlign val="subscript"/>
        <sz val="11"/>
        <color theme="1"/>
        <rFont val="Calibri"/>
        <family val="2"/>
        <scheme val="minor"/>
      </rPr>
      <t>3</t>
    </r>
  </si>
  <si>
    <r>
      <t>ZnCO</t>
    </r>
    <r>
      <rPr>
        <vertAlign val="subscript"/>
        <sz val="11"/>
        <color theme="1"/>
        <rFont val="Calibri"/>
        <family val="2"/>
        <scheme val="minor"/>
      </rPr>
      <t>3</t>
    </r>
  </si>
  <si>
    <r>
      <t>Zn(OH)</t>
    </r>
    <r>
      <rPr>
        <vertAlign val="subscript"/>
        <sz val="11"/>
        <color theme="1"/>
        <rFont val="Calibri"/>
        <family val="2"/>
        <scheme val="minor"/>
      </rPr>
      <t>2</t>
    </r>
  </si>
  <si>
    <t>Limiting Reactant</t>
  </si>
  <si>
    <r>
      <t>Mg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</si>
  <si>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Ca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</si>
  <si>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Ba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</si>
  <si>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Mn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</si>
  <si>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</si>
  <si>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3+</t>
    </r>
  </si>
  <si>
    <r>
      <t>Cu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</si>
  <si>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Ni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</si>
  <si>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Cd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</si>
  <si>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Zn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</si>
  <si>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Sn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</si>
  <si>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Hg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</si>
  <si>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Pb</t>
    </r>
    <r>
      <rPr>
        <vertAlign val="superscript"/>
        <sz val="11"/>
        <color theme="1"/>
        <rFont val="Calibri"/>
        <family val="2"/>
        <scheme val="minor"/>
      </rPr>
      <t>2+</t>
    </r>
  </si>
  <si>
    <t>Compounds</t>
  </si>
  <si>
    <t>Calculations for Pure Water Solution</t>
  </si>
  <si>
    <t>Calculations for Common Ion Solution</t>
  </si>
  <si>
    <t>H3O+</t>
  </si>
  <si>
    <t>Known Rxn Rate of Compound</t>
  </si>
  <si>
    <r>
      <t>CO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2-</t>
    </r>
  </si>
  <si>
    <t>Target Ion Not in Precipitate</t>
  </si>
  <si>
    <t>Molarity at Equilibrium</t>
  </si>
  <si>
    <t>Subscript</t>
  </si>
  <si>
    <r>
      <t xml:space="preserve">Strong Acids/Bases Ionize </t>
    </r>
    <r>
      <rPr>
        <i/>
        <sz val="11"/>
        <color theme="1"/>
        <rFont val="Calibri"/>
        <family val="2"/>
        <scheme val="minor"/>
      </rPr>
      <t>Completely</t>
    </r>
  </si>
  <si>
    <r>
      <t xml:space="preserve">Weak Acids/Bases Ionize </t>
    </r>
    <r>
      <rPr>
        <i/>
        <sz val="11"/>
        <color theme="1"/>
        <rFont val="Calibri"/>
        <family val="2"/>
        <scheme val="minor"/>
      </rPr>
      <t>Partially</t>
    </r>
  </si>
  <si>
    <t>At Equilibrium</t>
  </si>
  <si>
    <t>Numerator</t>
  </si>
  <si>
    <t>Denominator</t>
  </si>
  <si>
    <t>Step 1</t>
  </si>
  <si>
    <t>Step 2</t>
  </si>
  <si>
    <t>Left Side</t>
  </si>
  <si>
    <t>Right Side</t>
  </si>
  <si>
    <t>Step 3</t>
  </si>
  <si>
    <r>
      <t>ax</t>
    </r>
    <r>
      <rPr>
        <vertAlign val="superscript"/>
        <sz val="11"/>
        <color theme="1"/>
        <rFont val="Calibri"/>
        <family val="2"/>
        <scheme val="minor"/>
      </rPr>
      <t>2</t>
    </r>
  </si>
  <si>
    <t>bx</t>
  </si>
  <si>
    <r>
      <t xml:space="preserve">Change in Molarity                       </t>
    </r>
    <r>
      <rPr>
        <sz val="9"/>
        <color theme="1"/>
        <rFont val="Calibri"/>
        <family val="2"/>
        <scheme val="minor"/>
      </rPr>
      <t xml:space="preserve"> (enter sign with number)</t>
    </r>
  </si>
  <si>
    <t>Enter "-x" as "x" with "-1" in number row.</t>
  </si>
  <si>
    <t>Either the compound we are searching for or the one with 0 mol is typically "x"</t>
  </si>
  <si>
    <t>If v = 1,1,2,- and mol = #,#,#,- or if v = 1,1,1,1 and mol = #,#,#,#</t>
  </si>
  <si>
    <t>Left Side of Equation</t>
  </si>
  <si>
    <t>Right Side of Equation</t>
  </si>
  <si>
    <t>Make sure to only use gasses (not liquids or solids)</t>
  </si>
  <si>
    <t>L</t>
  </si>
  <si>
    <t>NH3</t>
  </si>
  <si>
    <t>N2</t>
  </si>
  <si>
    <t>Common Reactions</t>
  </si>
  <si>
    <t>Ammonia Decomposition</t>
  </si>
  <si>
    <t>Steam Reforming of Methane</t>
  </si>
  <si>
    <t>Sulfur Dioxide to Trioxide</t>
  </si>
  <si>
    <t>Compound with Known Rxn Rate, Or Compound with Largest v.</t>
  </si>
  <si>
    <r>
      <t>Initial Concentration [A]</t>
    </r>
    <r>
      <rPr>
        <vertAlign val="subscript"/>
        <sz val="10"/>
        <color theme="1"/>
        <rFont val="Calibri"/>
        <family val="2"/>
        <scheme val="minor"/>
      </rPr>
      <t>0</t>
    </r>
    <r>
      <rPr>
        <sz val="10"/>
        <color theme="1"/>
        <rFont val="Calibri"/>
        <family val="2"/>
        <scheme val="minor"/>
      </rPr>
      <t xml:space="preserve"> mmol</t>
    </r>
  </si>
  <si>
    <r>
      <t>Initial Concentration [A]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M/L</t>
    </r>
  </si>
  <si>
    <r>
      <t>Initial Concentration [A]</t>
    </r>
    <r>
      <rPr>
        <vertAlign val="subscript"/>
        <sz val="10"/>
        <color theme="1"/>
        <rFont val="Calibri"/>
        <family val="2"/>
        <scheme val="minor"/>
      </rPr>
      <t>t</t>
    </r>
    <r>
      <rPr>
        <sz val="10"/>
        <color theme="1"/>
        <rFont val="Calibri"/>
        <family val="2"/>
        <scheme val="minor"/>
      </rPr>
      <t xml:space="preserve"> mmol</t>
    </r>
  </si>
  <si>
    <r>
      <t>Initial Concentration [A]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M/L</t>
    </r>
  </si>
  <si>
    <t>Haber Process</t>
  </si>
  <si>
    <t>Oxidation of Ammonia</t>
  </si>
  <si>
    <t>Claus Process</t>
  </si>
  <si>
    <r>
      <t>Br</t>
    </r>
    <r>
      <rPr>
        <b/>
        <sz val="9"/>
        <color theme="1"/>
        <rFont val="Calibri"/>
        <family val="2"/>
        <scheme val="minor"/>
      </rPr>
      <t>Ø</t>
    </r>
    <r>
      <rPr>
        <b/>
        <sz val="11"/>
        <color theme="1"/>
        <rFont val="Calibri"/>
        <family val="2"/>
        <scheme val="minor"/>
      </rPr>
      <t>nsted-Lowry</t>
    </r>
  </si>
  <si>
    <t>Use to FOIL if situation where main calculator wont work</t>
  </si>
  <si>
    <t>FOIL</t>
  </si>
  <si>
    <t>Half Reaction</t>
  </si>
  <si>
    <r>
      <t>Cl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anions are spectator ions</t>
    </r>
  </si>
  <si>
    <t>Oxidation: the loss of electrons</t>
  </si>
  <si>
    <t>Reduction: the gain of electrons</t>
  </si>
  <si>
    <t xml:space="preserve">Half Reaction Example: </t>
  </si>
  <si>
    <r>
      <t xml:space="preserve">Specetator Ions remain </t>
    </r>
    <r>
      <rPr>
        <i/>
        <sz val="11"/>
        <color theme="1"/>
        <rFont val="Calibri"/>
        <family val="2"/>
        <scheme val="minor"/>
      </rPr>
      <t>(aq)</t>
    </r>
  </si>
  <si>
    <t>Oxidation States</t>
  </si>
  <si>
    <t>Number that tells if an atom has been oxidezed or reduced and by how much.</t>
  </si>
  <si>
    <t>When electrons get transferred or shared</t>
  </si>
  <si>
    <t>Oxidation State of an element in its standard state is 0</t>
  </si>
  <si>
    <t>Oxidation State of an atomic ion is the same as its charge</t>
  </si>
  <si>
    <t>Binary ionic compounds are made from atomic ions.</t>
  </si>
  <si>
    <r>
      <t>Elements that give up control of valence electrons easily, like the Group </t>
    </r>
    <r>
      <rPr>
        <sz val="11"/>
        <color rgb="FF008298"/>
        <rFont val="Calibri"/>
        <family val="2"/>
        <scheme val="minor"/>
      </rPr>
      <t>1A</t>
    </r>
    <r>
      <rPr>
        <sz val="11"/>
        <color rgb="FF000000"/>
        <rFont val="Calibri"/>
        <family val="2"/>
        <scheme val="minor"/>
      </rPr>
      <t> and </t>
    </r>
    <r>
      <rPr>
        <sz val="11"/>
        <color rgb="FF008298"/>
        <rFont val="Calibri"/>
        <family val="2"/>
        <scheme val="minor"/>
      </rPr>
      <t>2A</t>
    </r>
    <r>
      <rPr>
        <sz val="11"/>
        <color rgb="FF000000"/>
        <rFont val="Calibri"/>
        <family val="2"/>
        <scheme val="minor"/>
      </rPr>
      <t> metals, favor positive oxidation states.</t>
    </r>
  </si>
  <si>
    <r>
      <t>Elements that tend to gain control of valence electrons, like the Group </t>
    </r>
    <r>
      <rPr>
        <sz val="11"/>
        <color rgb="FF008298"/>
        <rFont val="Calibri"/>
        <family val="2"/>
        <scheme val="minor"/>
      </rPr>
      <t>6A</t>
    </r>
    <r>
      <rPr>
        <sz val="11"/>
        <color rgb="FF000000"/>
        <rFont val="Calibri"/>
        <family val="2"/>
        <scheme val="minor"/>
      </rPr>
      <t> and </t>
    </r>
    <r>
      <rPr>
        <sz val="11"/>
        <color rgb="FF008298"/>
        <rFont val="Calibri"/>
        <family val="2"/>
        <scheme val="minor"/>
      </rPr>
      <t>7A</t>
    </r>
    <r>
      <rPr>
        <sz val="11"/>
        <color rgb="FF000000"/>
        <rFont val="Calibri"/>
        <family val="2"/>
        <scheme val="minor"/>
      </rPr>
      <t> nonmetals, favor negative oxidation states.</t>
    </r>
  </si>
  <si>
    <t>Oxidation states of all atoms in molecule or polyatomic ion must add up to total charge.               Positive Oxidation States + Negative Oxidation States = Charge on Ion or Molecule</t>
  </si>
  <si>
    <t>Common Oxidation States in Main Group Elements</t>
  </si>
  <si>
    <t>Exceptions:</t>
  </si>
  <si>
    <r>
      <t>H atom is commonly found in oxidation states +1 </t>
    </r>
    <r>
      <rPr>
        <i/>
        <sz val="11"/>
        <color rgb="FF000000"/>
        <rFont val="Calibri"/>
        <family val="2"/>
        <scheme val="minor"/>
      </rPr>
      <t>and</t>
    </r>
    <r>
      <rPr>
        <sz val="11"/>
        <color rgb="FF000000"/>
        <rFont val="Calibri"/>
        <family val="2"/>
        <scheme val="minor"/>
      </rPr>
      <t> −1</t>
    </r>
  </si>
  <si>
    <r>
      <t>Fluorine (F) is always in oxidation state  −1, except in F</t>
    </r>
    <r>
      <rPr>
        <vertAlign val="subscript"/>
        <sz val="11"/>
        <color rgb="FF000000"/>
        <rFont val="Calibri"/>
        <family val="2"/>
        <scheme val="minor"/>
      </rPr>
      <t>2</t>
    </r>
  </si>
  <si>
    <t>Oxygen (O) is in oxidation state −2, except when bonded to itself or to fluorine</t>
  </si>
  <si>
    <t>Activity Series for Common Metals</t>
  </si>
  <si>
    <r>
      <t>H</t>
    </r>
    <r>
      <rPr>
        <vertAlign val="subscript"/>
        <sz val="11"/>
        <color rgb="FFFF0000"/>
        <rFont val="Calibri"/>
        <family val="2"/>
        <scheme val="minor"/>
      </rPr>
      <t>2</t>
    </r>
  </si>
  <si>
    <t>Strongest to Weakest</t>
  </si>
  <si>
    <t>Reducing Agents:</t>
  </si>
  <si>
    <r>
      <t>O</t>
    </r>
    <r>
      <rPr>
        <vertAlign val="superscript"/>
        <sz val="11"/>
        <color theme="1"/>
        <rFont val="Calibri"/>
        <family val="2"/>
        <scheme val="minor"/>
      </rPr>
      <t>2-</t>
    </r>
  </si>
  <si>
    <r>
      <t>S</t>
    </r>
    <r>
      <rPr>
        <vertAlign val="superscript"/>
        <sz val="11"/>
        <color theme="1"/>
        <rFont val="Calibri"/>
        <family val="2"/>
        <scheme val="minor"/>
      </rPr>
      <t>2-</t>
    </r>
  </si>
  <si>
    <t>Balancing a Half-Reaction</t>
  </si>
  <si>
    <t>Balance Atoms Other than H and O:</t>
  </si>
  <si>
    <t>Balance O by Adding Water:</t>
  </si>
  <si>
    <r>
      <t>Balance H by Adding 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>:</t>
    </r>
  </si>
  <si>
    <t>(Last Step if Acidic Solustion) Balance Charge by Adding Electrons:</t>
  </si>
  <si>
    <r>
      <t>(Continue if Basic Solustion) Replace each 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with H2O and add 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to other side:</t>
    </r>
  </si>
  <si>
    <r>
      <t>Cancel Waters until only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appears only on one side:</t>
    </r>
  </si>
  <si>
    <t>Position:</t>
  </si>
  <si>
    <t>Strongest to Weakest:</t>
  </si>
  <si>
    <t>Oxidizing Agents:</t>
  </si>
  <si>
    <t>Calculating pH of Strong Acid Solution</t>
  </si>
  <si>
    <t>Molar Mass Acid</t>
  </si>
  <si>
    <t>Initial Moles of Acid</t>
  </si>
  <si>
    <t>Acid Strength</t>
  </si>
  <si>
    <t>Strong</t>
  </si>
  <si>
    <r>
      <t>mol 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O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Produced (stoich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</si>
  <si>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 xml:space="preserve">mol HCl Consumed (stoich </t>
    </r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</si>
  <si>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 xml:space="preserve"> 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O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Produced</t>
    </r>
  </si>
  <si>
    <t>g of Acid</t>
  </si>
  <si>
    <t>L of Solution</t>
  </si>
  <si>
    <r>
      <t xml:space="preserve"> 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O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Final Molarity</t>
    </r>
  </si>
  <si>
    <t>pH</t>
  </si>
  <si>
    <r>
      <t>pH = -log[H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perscript"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>]</t>
    </r>
  </si>
  <si>
    <t>HNO3</t>
  </si>
  <si>
    <t>HI</t>
  </si>
  <si>
    <t>acetic acid</t>
  </si>
  <si>
    <t>benzoic acid</t>
  </si>
  <si>
    <t>butanoic acid</t>
  </si>
  <si>
    <t>4-chlorobutanoic acid</t>
  </si>
  <si>
    <t>crotonic acid</t>
  </si>
  <si>
    <t>oxalic acid</t>
  </si>
  <si>
    <t>phosphoric acid</t>
  </si>
  <si>
    <t>propionic acid</t>
  </si>
  <si>
    <t>sulfuric acid</t>
  </si>
  <si>
    <t>strong acid</t>
  </si>
  <si>
    <t>trimethylacetic acid</t>
  </si>
  <si>
    <r>
      <t>pK</t>
    </r>
    <r>
      <rPr>
        <b/>
        <i/>
        <vertAlign val="subscript"/>
        <sz val="11"/>
        <rFont val="Calibri"/>
        <family val="2"/>
        <scheme val="minor"/>
      </rPr>
      <t>a1</t>
    </r>
  </si>
  <si>
    <r>
      <t>pK</t>
    </r>
    <r>
      <rPr>
        <b/>
        <i/>
        <vertAlign val="subscript"/>
        <sz val="11"/>
        <rFont val="Calibri"/>
        <family val="2"/>
        <scheme val="minor"/>
      </rPr>
      <t>a2</t>
    </r>
  </si>
  <si>
    <r>
      <t>pK</t>
    </r>
    <r>
      <rPr>
        <b/>
        <i/>
        <vertAlign val="subscript"/>
        <sz val="11"/>
        <rFont val="Calibri"/>
        <family val="2"/>
        <scheme val="minor"/>
      </rPr>
      <t>a3</t>
    </r>
  </si>
  <si>
    <r>
      <t>CH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</si>
  <si>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C</t>
    </r>
    <r>
      <rPr>
        <vertAlign val="subscript"/>
        <sz val="11"/>
        <rFont val="Calibri"/>
        <family val="2"/>
        <scheme val="minor"/>
      </rPr>
      <t>6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5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</si>
  <si>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C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7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</si>
  <si>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C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6</t>
    </r>
    <r>
      <rPr>
        <sz val="11"/>
        <rFont val="Calibri"/>
        <family val="2"/>
        <scheme val="minor"/>
      </rPr>
      <t>ClCO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</si>
  <si>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C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5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</si>
  <si>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C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</t>
    </r>
    <r>
      <rPr>
        <vertAlign val="subscript"/>
        <sz val="11"/>
        <rFont val="Calibri"/>
        <family val="2"/>
        <scheme val="minor"/>
      </rPr>
      <t>4</t>
    </r>
  </si>
  <si>
    <r>
      <t>H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PO</t>
    </r>
    <r>
      <rPr>
        <vertAlign val="subscript"/>
        <sz val="11"/>
        <rFont val="Calibri"/>
        <family val="2"/>
        <scheme val="minor"/>
      </rPr>
      <t>4</t>
    </r>
  </si>
  <si>
    <r>
      <t>C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5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</si>
  <si>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SO</t>
    </r>
    <r>
      <rPr>
        <vertAlign val="subscript"/>
        <sz val="11"/>
        <rFont val="Calibri"/>
        <family val="2"/>
        <scheme val="minor"/>
      </rPr>
      <t>4</t>
    </r>
  </si>
  <si>
    <r>
      <t>C</t>
    </r>
    <r>
      <rPr>
        <vertAlign val="sub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9</t>
    </r>
    <r>
      <rPr>
        <sz val="11"/>
        <rFont val="Calibri"/>
        <family val="2"/>
        <scheme val="minor"/>
      </rP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</si>
  <si>
    <r>
      <t>pK</t>
    </r>
    <r>
      <rPr>
        <b/>
        <i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of Weak Acids at 25˚C</t>
    </r>
  </si>
  <si>
    <t>Select Weak Acids</t>
  </si>
  <si>
    <t>Select Strong Acids</t>
  </si>
  <si>
    <t>HCN</t>
  </si>
  <si>
    <t>Hydrocyanic</t>
  </si>
  <si>
    <t xml:space="preserve">Perchloric </t>
  </si>
  <si>
    <t xml:space="preserve">Nitric </t>
  </si>
  <si>
    <t xml:space="preserve">Hydroiodic </t>
  </si>
  <si>
    <r>
      <t xml:space="preserve">Using </t>
    </r>
    <r>
      <rPr>
        <b/>
        <i/>
        <sz val="11"/>
        <color theme="1"/>
        <rFont val="Calibri"/>
        <family val="2"/>
        <scheme val="minor"/>
      </rPr>
      <t>K</t>
    </r>
    <r>
      <rPr>
        <b/>
        <i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to Calculate pH of a Weak Acid</t>
    </r>
  </si>
  <si>
    <t>Acid</t>
  </si>
  <si>
    <t>Change in Molarity                     (sign only, using "-1" or "1")</t>
  </si>
  <si>
    <r>
      <rPr>
        <i/>
        <sz val="11"/>
        <color theme="1"/>
        <rFont val="Calibri"/>
        <family val="2"/>
        <scheme val="minor"/>
      </rPr>
      <t>K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Formula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</si>
  <si>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</si>
  <si>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>Weak Acid Approximation</t>
  </si>
  <si>
    <t>x=</t>
  </si>
  <si>
    <t>HBrO</t>
  </si>
  <si>
    <t>[Acid]</t>
  </si>
  <si>
    <t>Can Add Quadratic Formula Here to Cross-Check Approximation Value</t>
  </si>
  <si>
    <t>Hypobromous</t>
  </si>
  <si>
    <t>Alloxanic</t>
  </si>
  <si>
    <r>
      <t>HC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5</t>
    </r>
  </si>
  <si>
    <t>Boric</t>
  </si>
  <si>
    <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BO</t>
    </r>
    <r>
      <rPr>
        <vertAlign val="subscript"/>
        <sz val="11"/>
        <color theme="1"/>
        <rFont val="Calibri"/>
        <family val="2"/>
        <scheme val="minor"/>
      </rPr>
      <t>3</t>
    </r>
  </si>
  <si>
    <t>Half-Reaction</t>
  </si>
  <si>
    <t>  1.066 </t>
  </si>
  <si>
    <t>  1.35827 </t>
  </si>
  <si>
    <t>  1.92 </t>
  </si>
  <si>
    <t>  0.3419 </t>
  </si>
  <si>
    <t>  0.153 </t>
  </si>
  <si>
    <t>  0.521 </t>
  </si>
  <si>
    <t>  2.866 </t>
  </si>
  <si>
    <t>  0.771 </t>
  </si>
  <si>
    <t>  0.000 </t>
  </si>
  <si>
    <t>  1.776 </t>
  </si>
  <si>
    <t>  0.5355 </t>
  </si>
  <si>
    <t>  1.195 </t>
  </si>
  <si>
    <t>  1.224 </t>
  </si>
  <si>
    <t>  1.507 </t>
  </si>
  <si>
    <t>  0.595 </t>
  </si>
  <si>
    <t>  0.983 </t>
  </si>
  <si>
    <t>  0.957 </t>
  </si>
  <si>
    <t>  1.229 </t>
  </si>
  <si>
    <t>  0.401 </t>
  </si>
  <si>
    <t>  0.695 </t>
  </si>
  <si>
    <t>  0.172 </t>
  </si>
  <si>
    <t>  0.151 </t>
  </si>
  <si>
    <t>  0.991 </t>
  </si>
  <si>
    <r>
      <t>Ag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Ag (s)</t>
    </r>
  </si>
  <si>
    <r>
      <t>Al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Al (s)</t>
    </r>
  </si>
  <si>
    <r>
      <t>Au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Au (s)</t>
    </r>
  </si>
  <si>
    <r>
      <t>Au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Au (s)</t>
    </r>
  </si>
  <si>
    <r>
      <t>Ba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Ba (s)</t>
    </r>
  </si>
  <si>
    <r>
      <t>Br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(l)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2Br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</si>
  <si>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Ca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Ca (s)</t>
    </r>
  </si>
  <si>
    <r>
      <t>Cl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2Cl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</si>
  <si>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Co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Co (s)</t>
    </r>
  </si>
  <si>
    <r>
      <t>Co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Co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</t>
    </r>
  </si>
  <si>
    <r>
      <t>Cr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Cr (s)</t>
    </r>
  </si>
  <si>
    <r>
      <t>Cr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Cr (s)</t>
    </r>
  </si>
  <si>
    <r>
      <t>Cr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Cr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</t>
    </r>
  </si>
  <si>
    <r>
      <t>CrO</t>
    </r>
    <r>
      <rPr>
        <vertAlign val="subscript"/>
        <sz val="11"/>
        <rFont val="Calibri"/>
        <family val="2"/>
        <scheme val="minor"/>
      </rPr>
      <t>4</t>
    </r>
    <r>
      <rPr>
        <vertAlign val="superscript"/>
        <sz val="11"/>
        <rFont val="Calibri"/>
        <family val="2"/>
        <scheme val="minor"/>
      </rPr>
      <t>2−</t>
    </r>
    <r>
      <rPr>
        <sz val="11"/>
        <rFont val="Calibri"/>
        <family val="2"/>
        <scheme val="minor"/>
      </rPr>
      <t> (aq) + 4H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Cr(OH)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 (s) + 5OH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</si>
  <si>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Cu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Cu (s)</t>
    </r>
  </si>
  <si>
    <r>
      <t>Cu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Cu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</t>
    </r>
  </si>
  <si>
    <r>
      <t>Cu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Cu (s)</t>
    </r>
  </si>
  <si>
    <r>
      <t>F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2F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</si>
  <si>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Fe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Fe (s)</t>
    </r>
  </si>
  <si>
    <r>
      <t>Fe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Fe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</t>
    </r>
  </si>
  <si>
    <r>
      <t>Fe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Fe (s)</t>
    </r>
  </si>
  <si>
    <r>
      <t>2H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</t>
    </r>
  </si>
  <si>
    <r>
      <t>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+ 2OH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</si>
  <si>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(aq) + 2H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</si>
  <si>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I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(s)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2I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</si>
  <si>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2IO</t>
    </r>
    <r>
      <rPr>
        <vertAlign val="subscript"/>
        <sz val="11"/>
        <rFont val="Calibri"/>
        <family val="2"/>
        <scheme val="minor"/>
      </rPr>
      <t>3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+ 12H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+ 10e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I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(s) + 6H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</si>
  <si>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Mg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Mg (s)</t>
    </r>
  </si>
  <si>
    <r>
      <t>Mn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Mn (s)</t>
    </r>
  </si>
  <si>
    <r>
      <t>MnO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(s) + 4H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Mn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</si>
  <si>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MnO</t>
    </r>
    <r>
      <rPr>
        <vertAlign val="subscript"/>
        <sz val="11"/>
        <rFont val="Calibri"/>
        <family val="2"/>
        <scheme val="minor"/>
      </rPr>
      <t>4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+ 8H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+ 5e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Mn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+ 4H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</si>
  <si>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MnO</t>
    </r>
    <r>
      <rPr>
        <vertAlign val="subscript"/>
        <sz val="11"/>
        <rFont val="Calibri"/>
        <family val="2"/>
        <scheme val="minor"/>
      </rPr>
      <t>4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MnO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(s) + 4OH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</si>
  <si>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HNO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(aq) + 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NO (g) +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</si>
  <si>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N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+ 4H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 + 4e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4OH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N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H</t>
    </r>
    <r>
      <rPr>
        <vertAlign val="sub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> (aq)</t>
    </r>
  </si>
  <si>
    <r>
      <t>NO</t>
    </r>
    <r>
      <rPr>
        <vertAlign val="subscript"/>
        <sz val="11"/>
        <rFont val="Calibri"/>
        <family val="2"/>
        <scheme val="minor"/>
      </rPr>
      <t>3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+ 4H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NO (g) + 2H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</si>
  <si>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Na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Na (s)</t>
    </r>
  </si>
  <si>
    <r>
      <t>Ni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Ni (s)</t>
    </r>
  </si>
  <si>
    <r>
      <t>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+ 4H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+ 4e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</si>
  <si>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+ 2H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 + 4e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4OH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</si>
  <si>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(g) + 2H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 (aq)</t>
    </r>
  </si>
  <si>
    <r>
      <t>Pb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Pb (s)</t>
    </r>
  </si>
  <si>
    <r>
      <t>PbSO</t>
    </r>
    <r>
      <rPr>
        <vertAlign val="sub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> (s) + 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Pb (s) + HSO</t>
    </r>
    <r>
      <rPr>
        <vertAlign val="subscript"/>
        <sz val="11"/>
        <rFont val="Calibri"/>
        <family val="2"/>
        <scheme val="minor"/>
      </rPr>
      <t>4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</t>
    </r>
  </si>
  <si>
    <r>
      <t>HSO</t>
    </r>
    <r>
      <rPr>
        <vertAlign val="subscript"/>
        <sz val="11"/>
        <rFont val="Calibri"/>
        <family val="2"/>
        <scheme val="minor"/>
      </rPr>
      <t>4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(aq) + 3H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SO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 (aq) +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</si>
  <si>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Sc</t>
    </r>
    <r>
      <rPr>
        <vertAlign val="superscript"/>
        <sz val="11"/>
        <rFont val="Calibri"/>
        <family val="2"/>
        <scheme val="minor"/>
      </rPr>
      <t>3+</t>
    </r>
    <r>
      <rPr>
        <sz val="11"/>
        <rFont val="Calibri"/>
        <family val="2"/>
        <scheme val="minor"/>
      </rPr>
      <t> (aq) + 3e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Sc (s)</t>
    </r>
  </si>
  <si>
    <r>
      <t>Sn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Sn (s)</t>
    </r>
  </si>
  <si>
    <r>
      <t>Sn</t>
    </r>
    <r>
      <rPr>
        <vertAlign val="superscript"/>
        <sz val="11"/>
        <rFont val="Calibri"/>
        <family val="2"/>
        <scheme val="minor"/>
      </rPr>
      <t>4+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Sn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</t>
    </r>
  </si>
  <si>
    <r>
      <t>VO</t>
    </r>
    <r>
      <rPr>
        <vertAlign val="subscript"/>
        <sz val="11"/>
        <rFont val="Calibri"/>
        <family val="2"/>
        <scheme val="minor"/>
      </rPr>
      <t>2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+ 2H</t>
    </r>
    <r>
      <rPr>
        <vertAlign val="superscript"/>
        <sz val="11"/>
        <rFont val="Calibri"/>
        <family val="2"/>
        <scheme val="minor"/>
      </rPr>
      <t>+</t>
    </r>
    <r>
      <rPr>
        <sz val="11"/>
        <rFont val="Calibri"/>
        <family val="2"/>
        <scheme val="minor"/>
      </rPr>
      <t> (aq) + 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VO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H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(l)</t>
    </r>
  </si>
  <si>
    <r>
      <t>Zn</t>
    </r>
    <r>
      <rPr>
        <vertAlign val="superscript"/>
        <sz val="11"/>
        <rFont val="Calibri"/>
        <family val="2"/>
        <scheme val="minor"/>
      </rPr>
      <t>2+</t>
    </r>
    <r>
      <rPr>
        <sz val="11"/>
        <rFont val="Calibri"/>
        <family val="2"/>
        <scheme val="minor"/>
      </rPr>
      <t> (aq) + 2e</t>
    </r>
    <r>
      <rPr>
        <vertAlign val="superscript"/>
        <sz val="11"/>
        <rFont val="Calibri"/>
        <family val="2"/>
        <scheme val="minor"/>
      </rPr>
      <t>−</t>
    </r>
    <r>
      <rPr>
        <sz val="11"/>
        <rFont val="Calibri"/>
        <family val="2"/>
        <scheme val="minor"/>
      </rPr>
      <t> → Zn (s)</t>
    </r>
  </si>
  <si>
    <t>Standard Reaction Potentials at 25°C</t>
  </si>
  <si>
    <t>Galvanic Cells</t>
  </si>
  <si>
    <t>Reduction Always Takes Place at Cathode</t>
  </si>
  <si>
    <t>Oxidation Always Takes Place at Anode</t>
  </si>
  <si>
    <t>0.7996 </t>
  </si>
  <si>
    <t>1.692 </t>
  </si>
  <si>
    <t>1.498 </t>
  </si>
  <si>
    <r>
      <t>E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(Cathode) - </t>
    </r>
    <r>
      <rPr>
        <i/>
        <sz val="11"/>
        <color theme="1"/>
        <rFont val="Calibri"/>
        <family val="2"/>
        <scheme val="minor"/>
      </rPr>
      <t>E</t>
    </r>
    <r>
      <rPr>
        <i/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(Anode)</t>
    </r>
  </si>
  <si>
    <r>
      <rPr>
        <b/>
        <sz val="11"/>
        <color theme="1"/>
        <rFont val="Calibri"/>
        <family val="2"/>
        <scheme val="minor"/>
      </rPr>
      <t xml:space="preserve">Galvanic Cell Potential </t>
    </r>
    <r>
      <rPr>
        <b/>
        <i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i/>
        <sz val="11"/>
        <color theme="1"/>
        <rFont val="Calibri"/>
        <family val="2"/>
        <scheme val="minor"/>
      </rPr>
      <t>E</t>
    </r>
    <r>
      <rPr>
        <b/>
        <vertAlign val="super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(Cathode) - </t>
    </r>
    <r>
      <rPr>
        <b/>
        <i/>
        <sz val="11"/>
        <color theme="1"/>
        <rFont val="Calibri"/>
        <family val="2"/>
        <scheme val="minor"/>
      </rPr>
      <t>E</t>
    </r>
    <r>
      <rPr>
        <b/>
        <i/>
        <vertAlign val="super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>(Anode)</t>
    </r>
  </si>
  <si>
    <t>E° (V) Cathode</t>
  </si>
  <si>
    <t>E° (V) Anode</t>
  </si>
  <si>
    <t> -2.912 </t>
  </si>
  <si>
    <t> -2.868 </t>
  </si>
  <si>
    <t> -0.28 </t>
  </si>
  <si>
    <t xml:space="preserve"> -1.676 </t>
  </si>
  <si>
    <t> -0.407 </t>
  </si>
  <si>
    <t> -0.7618 </t>
  </si>
  <si>
    <t> -0.913 </t>
  </si>
  <si>
    <t> -0.744 </t>
  </si>
  <si>
    <t> -0.13 </t>
  </si>
  <si>
    <t> -0.447 </t>
  </si>
  <si>
    <t> -0.037 </t>
  </si>
  <si>
    <t> -0.8277 </t>
  </si>
  <si>
    <t> -2.372 </t>
  </si>
  <si>
    <t> -1.185 </t>
  </si>
  <si>
    <t> -1.16 </t>
  </si>
  <si>
    <t> -2.71 </t>
  </si>
  <si>
    <t> -0.257 </t>
  </si>
  <si>
    <t> -0.1262 </t>
  </si>
  <si>
    <t> -0.3588 </t>
  </si>
  <si>
    <t> -2.077 </t>
  </si>
  <si>
    <t> -0.1375 </t>
  </si>
  <si>
    <r>
      <t xml:space="preserve">If Searching by Reaction to Find </t>
    </r>
    <r>
      <rPr>
        <i/>
        <sz val="11"/>
        <color theme="1"/>
        <rFont val="Calibri"/>
        <family val="2"/>
        <scheme val="minor"/>
      </rP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, Search by </t>
    </r>
    <r>
      <rPr>
        <i/>
        <sz val="11"/>
        <color theme="1"/>
        <rFont val="Calibri"/>
        <family val="2"/>
        <scheme val="minor"/>
      </rP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to Confirm Formula</t>
    </r>
  </si>
  <si>
    <r>
      <rPr>
        <b/>
        <i/>
        <sz val="11"/>
        <rFont val="Calibri"/>
        <family val="2"/>
        <scheme val="minor"/>
      </rPr>
      <t>E</t>
    </r>
    <r>
      <rPr>
        <b/>
        <sz val="11"/>
        <rFont val="Calibri"/>
        <family val="2"/>
        <scheme val="minor"/>
      </rPr>
      <t>° (V)</t>
    </r>
  </si>
  <si>
    <r>
      <rPr>
        <i/>
        <sz val="11"/>
        <color theme="1"/>
        <rFont val="Calibri"/>
        <family val="2"/>
        <scheme val="minor"/>
      </rPr>
      <t>Cat</t>
    </r>
    <r>
      <rPr>
        <sz val="11"/>
        <color theme="1"/>
        <rFont val="Calibri"/>
        <family val="2"/>
        <scheme val="minor"/>
      </rPr>
      <t xml:space="preserve">hodes are Hungry and Want to </t>
    </r>
    <r>
      <rPr>
        <i/>
        <sz val="11"/>
        <color theme="1"/>
        <rFont val="Calibri"/>
        <family val="2"/>
        <scheme val="minor"/>
      </rPr>
      <t>Reduce</t>
    </r>
    <r>
      <rPr>
        <sz val="11"/>
        <color theme="1"/>
        <rFont val="Calibri"/>
        <family val="2"/>
        <scheme val="minor"/>
      </rPr>
      <t xml:space="preserve"> the Electrons on Their Plate</t>
    </r>
  </si>
  <si>
    <t>E° (V) Cell Voltage</t>
  </si>
  <si>
    <t>Co3+ (aq) + e- --&gt; Co2+</t>
  </si>
  <si>
    <r>
      <t>F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2F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</si>
  <si>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Co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Co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</si>
  <si>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(aq) + 2H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</si>
  <si>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Au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Au (s)</t>
    </r>
  </si>
  <si>
    <r>
      <t>MnO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+ 8H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+ 5e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Mn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+ 4H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</si>
  <si>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Au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Au (s)</t>
    </r>
  </si>
  <si>
    <r>
      <t>Cl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2Cl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</si>
  <si>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+ 4H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+ 4e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</si>
  <si>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MnO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(s) + 4H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Mn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</si>
  <si>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2IO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+ 12H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+ 10e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I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(s) + 6H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</si>
  <si>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Br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(l)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2Br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</si>
  <si>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VO</t>
    </r>
    <r>
      <rPr>
        <vertAlign val="sub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VO</t>
    </r>
    <r>
      <rPr>
        <vertAlign val="sub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</si>
  <si>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HNO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(aq) + 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NO (g)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</si>
  <si>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+ 4H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NO (g) + 2H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</si>
  <si>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Ag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Ag (s)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</si>
  <si>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Fe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</t>
    </r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</si>
  <si>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+ 2H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(aq)</t>
    </r>
  </si>
  <si>
    <r>
      <t>MnO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MnO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(s) + 4OH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</si>
  <si>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I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(s)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2I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</si>
  <si>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Cu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Cu (s)</t>
    </r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</si>
  <si>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 + 4e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4OH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</si>
  <si>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Cu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Cu (s)</t>
    </r>
  </si>
  <si>
    <r>
      <t>HSO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+ 3H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SO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(aq) +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</t>
    </r>
  </si>
  <si>
    <r>
      <t>Cu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Cu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</t>
    </r>
  </si>
  <si>
    <r>
      <t>Sn</t>
    </r>
    <r>
      <rPr>
        <vertAlign val="superscript"/>
        <sz val="11"/>
        <color theme="1"/>
        <rFont val="Calibri"/>
        <family val="2"/>
        <scheme val="minor"/>
      </rPr>
      <t>4+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? Sn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</t>
    </r>
  </si>
  <si>
    <r>
      <t>2H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</si>
  <si>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Fe (s)</t>
    </r>
  </si>
  <si>
    <r>
      <t>Pb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Pb (s)</t>
    </r>
  </si>
  <si>
    <r>
      <t>CrO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2-</t>
    </r>
    <r>
      <rPr>
        <sz val="11"/>
        <color theme="1"/>
        <rFont val="Calibri"/>
        <family val="2"/>
        <scheme val="minor"/>
      </rPr>
      <t xml:space="preserve"> (aq) + 4H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Cr(OH)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(s) + 5OH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</si>
  <si>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Sn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Sn (s)</t>
    </r>
  </si>
  <si>
    <r>
      <t>Ni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Ni (s)</t>
    </r>
  </si>
  <si>
    <r>
      <t>Co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Co (s)</t>
    </r>
  </si>
  <si>
    <r>
      <t>PbSO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(s) + 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Pb (s) + HSO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</si>
  <si>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Cr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Cr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</si>
  <si>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Fe (s)</t>
    </r>
  </si>
  <si>
    <r>
      <t>Cr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Cr (s)</t>
    </r>
  </si>
  <si>
    <r>
      <t>Zn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Zn (s)</t>
    </r>
  </si>
  <si>
    <r>
      <t>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+ 2OH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</t>
    </r>
  </si>
  <si>
    <r>
      <t>Cr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Cr (s)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</si>
  <si>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(g) + 4H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(l) + 4e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4OH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(aq) + 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(aq)</t>
    </r>
  </si>
  <si>
    <r>
      <t>Mn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Mn (s)</t>
    </r>
  </si>
  <si>
    <r>
      <t>Al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Al (s)</t>
    </r>
  </si>
  <si>
    <r>
      <t>Sc</t>
    </r>
    <r>
      <rPr>
        <vertAlign val="superscript"/>
        <sz val="11"/>
        <color theme="1"/>
        <rFont val="Calibri"/>
        <family val="2"/>
        <scheme val="minor"/>
      </rPr>
      <t>3+</t>
    </r>
    <r>
      <rPr>
        <sz val="11"/>
        <color theme="1"/>
        <rFont val="Calibri"/>
        <family val="2"/>
        <scheme val="minor"/>
      </rPr>
      <t xml:space="preserve"> (aq) + 3e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Sc (s)</t>
    </r>
  </si>
  <si>
    <r>
      <t>Mg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Mg (s)</t>
    </r>
  </si>
  <si>
    <r>
      <t>Na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(aq) +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Na (s)</t>
    </r>
  </si>
  <si>
    <r>
      <t>Ca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Ca (s)</t>
    </r>
  </si>
  <si>
    <r>
      <t>Ba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Ba (s)</t>
    </r>
  </si>
  <si>
    <r>
      <rPr>
        <b/>
        <i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° (V)</t>
    </r>
  </si>
  <si>
    <t>Standard Reaction Potentials at 25°C in Alphabetical Order</t>
  </si>
  <si>
    <t>Nuclide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</si>
  <si>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>X</t>
    </r>
  </si>
  <si>
    <r>
      <t>β</t>
    </r>
    <r>
      <rPr>
        <vertAlign val="superscript"/>
        <sz val="8"/>
        <color rgb="FF202122"/>
        <rFont val="Arial"/>
        <family val="2"/>
      </rPr>
      <t>−</t>
    </r>
  </si>
  <si>
    <t>ν</t>
  </si>
  <si>
    <r>
      <t>α</t>
    </r>
    <r>
      <rPr>
        <vertAlign val="superscript"/>
        <sz val="8"/>
        <color rgb="FF202122"/>
        <rFont val="Arial"/>
        <family val="2"/>
      </rPr>
      <t>2+</t>
    </r>
  </si>
  <si>
    <t>γ</t>
  </si>
  <si>
    <t>Beta Decay</t>
  </si>
  <si>
    <t>Types of Radiactive Decay</t>
  </si>
  <si>
    <t>Alpha Decay</t>
  </si>
  <si>
    <t>Gamma Decay</t>
  </si>
  <si>
    <t>Electron Capture</t>
  </si>
  <si>
    <t>Positron Emission</t>
  </si>
  <si>
    <t>Neutrino</t>
  </si>
  <si>
    <t>Antineutrino</t>
  </si>
  <si>
    <t>constant</t>
  </si>
  <si>
    <t>usual symbol</t>
  </si>
  <si>
    <t>value</t>
  </si>
  <si>
    <t>Avogadro number</t>
  </si>
  <si>
    <t>R</t>
  </si>
  <si>
    <t>speed of light in vacuum</t>
  </si>
  <si>
    <t>Planck constant</t>
  </si>
  <si>
    <t>h</t>
  </si>
  <si>
    <t>Rydberg energy</t>
  </si>
  <si>
    <t>Boltzmann constant</t>
  </si>
  <si>
    <t>elementary charge</t>
  </si>
  <si>
    <t>e</t>
  </si>
  <si>
    <t>mass of electron</t>
  </si>
  <si>
    <t>atomic mass unit</t>
  </si>
  <si>
    <t>u</t>
  </si>
  <si>
    <t>standard acceleration due to Earth's gravity</t>
  </si>
  <si>
    <t>ion product of water</t>
  </si>
  <si>
    <t>Faraday constant</t>
  </si>
  <si>
    <t>Coulomb constant</t>
  </si>
  <si>
    <t>permittivity of free space</t>
  </si>
  <si>
    <t>Looks for an exact match.</t>
  </si>
  <si>
    <t xml:space="preserve"> Must enter space between compound and phase.</t>
  </si>
  <si>
    <r>
      <rPr>
        <i/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A</t>
    </r>
  </si>
  <si>
    <r>
      <rPr>
        <i/>
        <sz val="11"/>
        <color theme="1"/>
        <rFont val="Calibri"/>
        <family val="2"/>
        <scheme val="minor"/>
      </rPr>
      <t>R</t>
    </r>
    <r>
      <rPr>
        <vertAlign val="subscript"/>
        <sz val="11"/>
        <color theme="1"/>
        <rFont val="Calibri"/>
        <family val="2"/>
        <scheme val="minor"/>
      </rPr>
      <t>y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</si>
  <si>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B</t>
    </r>
  </si>
  <si>
    <r>
      <rPr>
        <i/>
        <sz val="11"/>
        <color theme="1"/>
        <rFont val="Calibri"/>
        <family val="2"/>
        <scheme val="minor"/>
      </rPr>
      <t>m</t>
    </r>
    <r>
      <rPr>
        <vertAlign val="subscript"/>
        <sz val="11"/>
        <color theme="1"/>
        <rFont val="Calibri"/>
        <family val="2"/>
        <scheme val="minor"/>
      </rPr>
      <t>e</t>
    </r>
  </si>
  <si>
    <r>
      <t>K</t>
    </r>
    <r>
      <rPr>
        <i/>
        <vertAlign val="subscript"/>
        <sz val="11"/>
        <color theme="1"/>
        <rFont val="Calibri"/>
        <family val="2"/>
        <scheme val="minor"/>
      </rPr>
      <t>w</t>
    </r>
  </si>
  <si>
    <r>
      <rPr>
        <sz val="11"/>
        <color theme="1"/>
        <rFont val="Calibri"/>
        <family val="2"/>
      </rPr>
      <t>ε</t>
    </r>
    <r>
      <rPr>
        <vertAlign val="subscript"/>
        <sz val="11"/>
        <color theme="1"/>
        <rFont val="Calibri"/>
        <family val="2"/>
        <scheme val="minor"/>
      </rPr>
      <t>0</t>
    </r>
  </si>
  <si>
    <t>Ampere</t>
  </si>
  <si>
    <t>Charge</t>
  </si>
  <si>
    <t>Coulomb</t>
  </si>
  <si>
    <t>Current</t>
  </si>
  <si>
    <t>1 A = 1 C/sec</t>
  </si>
  <si>
    <t>Amount of Charge</t>
  </si>
  <si>
    <t>Q</t>
  </si>
  <si>
    <t>Size of Current</t>
  </si>
  <si>
    <t xml:space="preserve">time </t>
  </si>
  <si>
    <t>t</t>
  </si>
  <si>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=</t>
    </r>
    <r>
      <rPr>
        <i/>
        <sz val="11"/>
        <color theme="1"/>
        <rFont val="Calibri"/>
        <family val="2"/>
        <scheme val="minor"/>
      </rPr>
      <t xml:space="preserve"> I </t>
    </r>
    <r>
      <rPr>
        <sz val="11"/>
        <color theme="1"/>
        <rFont val="Calibri"/>
        <family val="2"/>
        <scheme val="minor"/>
      </rPr>
      <t xml:space="preserve">* </t>
    </r>
    <r>
      <rPr>
        <i/>
        <sz val="11"/>
        <color theme="1"/>
        <rFont val="Calibri"/>
        <family val="2"/>
        <scheme val="minor"/>
      </rPr>
      <t>t</t>
    </r>
  </si>
  <si>
    <t>Nomenclature</t>
  </si>
  <si>
    <t>Charge, Current, and Time</t>
  </si>
  <si>
    <t>name</t>
  </si>
  <si>
    <t>symbol</t>
  </si>
  <si>
    <t>meaning</t>
  </si>
  <si>
    <t>deca</t>
  </si>
  <si>
    <t>da</t>
  </si>
  <si>
    <t>hecto</t>
  </si>
  <si>
    <t>kilo</t>
  </si>
  <si>
    <t>mega</t>
  </si>
  <si>
    <t>giga</t>
  </si>
  <si>
    <t>G</t>
  </si>
  <si>
    <t>tera</t>
  </si>
  <si>
    <t>T</t>
  </si>
  <si>
    <t>peta</t>
  </si>
  <si>
    <t>exa</t>
  </si>
  <si>
    <t>E</t>
  </si>
  <si>
    <t>zetta</t>
  </si>
  <si>
    <t>Z</t>
  </si>
  <si>
    <t>yotta</t>
  </si>
  <si>
    <t>deci</t>
  </si>
  <si>
    <t>centi</t>
  </si>
  <si>
    <t>milli</t>
  </si>
  <si>
    <t>m</t>
  </si>
  <si>
    <t>micro</t>
  </si>
  <si>
    <t>µ</t>
  </si>
  <si>
    <t>nano</t>
  </si>
  <si>
    <t>n</t>
  </si>
  <si>
    <t>pico</t>
  </si>
  <si>
    <t>p</t>
  </si>
  <si>
    <t>femto</t>
  </si>
  <si>
    <t>f</t>
  </si>
  <si>
    <t>atto</t>
  </si>
  <si>
    <t>zepto</t>
  </si>
  <si>
    <t>z</t>
  </si>
  <si>
    <t>yocto</t>
  </si>
  <si>
    <t>y</t>
  </si>
  <si>
    <t>10^1</t>
  </si>
  <si>
    <t>10^2</t>
  </si>
  <si>
    <t>10^3</t>
  </si>
  <si>
    <t>10^6</t>
  </si>
  <si>
    <t>10^9</t>
  </si>
  <si>
    <t>10^12</t>
  </si>
  <si>
    <t>10^15</t>
  </si>
  <si>
    <t>10^18</t>
  </si>
  <si>
    <t>10^21</t>
  </si>
  <si>
    <t>10^24</t>
  </si>
  <si>
    <t>10^-1</t>
  </si>
  <si>
    <t>10^-2</t>
  </si>
  <si>
    <t>10^-3</t>
  </si>
  <si>
    <t>10^-6</t>
  </si>
  <si>
    <t>10^-9</t>
  </si>
  <si>
    <t>10^-12</t>
  </si>
  <si>
    <t>10^-15</t>
  </si>
  <si>
    <t>10^-18</t>
  </si>
  <si>
    <t>10^-21</t>
  </si>
  <si>
    <t>10^-24</t>
  </si>
  <si>
    <r>
      <t xml:space="preserve">Time 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(in seconds)</t>
    </r>
  </si>
  <si>
    <r>
      <t xml:space="preserve">Current </t>
    </r>
    <r>
      <rPr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(in Ampere)</t>
    </r>
  </si>
  <si>
    <r>
      <t xml:space="preserve">Charge 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 (in Coulomb)</t>
    </r>
  </si>
  <si>
    <r>
      <t>0.0820574 L·atm mol-1·K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</si>
  <si>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8.31446 J·mol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·K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</si>
  <si>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299792458 m·s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(exactly)</t>
    </r>
  </si>
  <si>
    <r>
      <t>2.17987×10</t>
    </r>
    <r>
      <rPr>
        <vertAlign val="superscript"/>
        <sz val="11"/>
        <color theme="1"/>
        <rFont val="Calibri"/>
        <family val="2"/>
        <scheme val="minor"/>
      </rPr>
      <t>-18</t>
    </r>
    <r>
      <rPr>
        <sz val="11"/>
        <color theme="1"/>
        <rFont val="Calibri"/>
        <family val="2"/>
        <scheme val="minor"/>
      </rPr>
      <t xml:space="preserve"> J</t>
    </r>
  </si>
  <si>
    <r>
      <t>6.62607×10</t>
    </r>
    <r>
      <rPr>
        <vertAlign val="superscript"/>
        <sz val="11"/>
        <color theme="1"/>
        <rFont val="Calibri"/>
        <family val="2"/>
        <scheme val="minor"/>
      </rPr>
      <t>-34</t>
    </r>
    <r>
      <rPr>
        <sz val="11"/>
        <color theme="1"/>
        <rFont val="Calibri"/>
        <family val="2"/>
        <scheme val="minor"/>
      </rPr>
      <t xml:space="preserve"> J·s</t>
    </r>
  </si>
  <si>
    <r>
      <t>6.02214×10</t>
    </r>
    <r>
      <rPr>
        <vertAlign val="superscript"/>
        <sz val="11"/>
        <color theme="1"/>
        <rFont val="Calibri"/>
        <family val="2"/>
        <scheme val="minor"/>
      </rPr>
      <t>23</t>
    </r>
  </si>
  <si>
    <r>
      <t>1.38065×10</t>
    </r>
    <r>
      <rPr>
        <vertAlign val="superscript"/>
        <sz val="11"/>
        <color theme="1"/>
        <rFont val="Calibri"/>
        <family val="2"/>
        <scheme val="minor"/>
      </rPr>
      <t>-23</t>
    </r>
    <r>
      <rPr>
        <sz val="11"/>
        <color theme="1"/>
        <rFont val="Calibri"/>
        <family val="2"/>
        <scheme val="minor"/>
      </rPr>
      <t xml:space="preserve"> J·K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</si>
  <si>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1.60218×10</t>
    </r>
    <r>
      <rPr>
        <vertAlign val="superscript"/>
        <sz val="11"/>
        <color theme="1"/>
        <rFont val="Calibri"/>
        <family val="2"/>
        <scheme val="minor"/>
      </rPr>
      <t>-19</t>
    </r>
    <r>
      <rPr>
        <sz val="11"/>
        <color theme="1"/>
        <rFont val="Calibri"/>
        <family val="2"/>
        <scheme val="minor"/>
      </rPr>
      <t xml:space="preserve"> C</t>
    </r>
  </si>
  <si>
    <r>
      <t>9.10938×10</t>
    </r>
    <r>
      <rPr>
        <vertAlign val="superscript"/>
        <sz val="11"/>
        <color theme="1"/>
        <rFont val="Calibri"/>
        <family val="2"/>
        <scheme val="minor"/>
      </rPr>
      <t>-31</t>
    </r>
    <r>
      <rPr>
        <sz val="11"/>
        <color theme="1"/>
        <rFont val="Calibri"/>
        <family val="2"/>
        <scheme val="minor"/>
      </rPr>
      <t xml:space="preserve"> kg</t>
    </r>
  </si>
  <si>
    <r>
      <t>1.66054×10</t>
    </r>
    <r>
      <rPr>
        <vertAlign val="superscript"/>
        <sz val="11"/>
        <color theme="1"/>
        <rFont val="Calibri"/>
        <family val="2"/>
        <scheme val="minor"/>
      </rPr>
      <t>-27</t>
    </r>
    <r>
      <rPr>
        <sz val="11"/>
        <color theme="1"/>
        <rFont val="Calibri"/>
        <family val="2"/>
        <scheme val="minor"/>
      </rPr>
      <t xml:space="preserve"> kg</t>
    </r>
  </si>
  <si>
    <r>
      <t>9.80665 m·s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>(exactly)</t>
    </r>
  </si>
  <si>
    <r>
      <t>1.01158×10</t>
    </r>
    <r>
      <rPr>
        <vertAlign val="superscript"/>
        <sz val="11"/>
        <color theme="1"/>
        <rFont val="Calibri"/>
        <family val="2"/>
        <scheme val="minor"/>
      </rPr>
      <t>-14</t>
    </r>
    <r>
      <rPr>
        <sz val="11"/>
        <color theme="1"/>
        <rFont val="Calibri"/>
        <family val="2"/>
        <scheme val="minor"/>
      </rPr>
      <t xml:space="preserve"> 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</si>
  <si>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96485.3 C·mol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</si>
  <si>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8.98755×10</t>
    </r>
    <r>
      <rPr>
        <vertAlign val="superscript"/>
        <sz val="11"/>
        <color theme="1"/>
        <rFont val="Calibri"/>
        <family val="2"/>
        <scheme val="minor"/>
      </rPr>
      <t>9</t>
    </r>
    <r>
      <rPr>
        <sz val="11"/>
        <color theme="1"/>
        <rFont val="Calibri"/>
        <family val="2"/>
        <scheme val="minor"/>
      </rPr>
      <t xml:space="preserve"> N·m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·C</t>
    </r>
    <r>
      <rPr>
        <vertAlign val="superscript"/>
        <sz val="11"/>
        <color theme="1"/>
        <rFont val="Calibri"/>
        <family val="2"/>
        <scheme val="minor"/>
      </rPr>
      <t>-2</t>
    </r>
  </si>
  <si>
    <r>
      <t>8.85419×10</t>
    </r>
    <r>
      <rPr>
        <vertAlign val="superscript"/>
        <sz val="11"/>
        <color theme="1"/>
        <rFont val="Calibri"/>
        <family val="2"/>
        <scheme val="minor"/>
      </rPr>
      <t>-12</t>
    </r>
    <r>
      <rPr>
        <sz val="11"/>
        <color theme="1"/>
        <rFont val="Calibri"/>
        <family val="2"/>
        <scheme val="minor"/>
      </rPr>
      <t xml:space="preserve"> 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·m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>·C</t>
    </r>
    <r>
      <rPr>
        <vertAlign val="superscript"/>
        <sz val="11"/>
        <color theme="1"/>
        <rFont val="Calibri"/>
        <family val="2"/>
        <scheme val="minor"/>
      </rPr>
      <t>2</t>
    </r>
  </si>
  <si>
    <t>mol of electrons</t>
  </si>
  <si>
    <r>
      <t xml:space="preserve">Enter Charge </t>
    </r>
    <r>
      <rPr>
        <i/>
        <sz val="11"/>
        <color theme="1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mol of electrons, Not Both</t>
    </r>
  </si>
  <si>
    <t>Shorter half-life = faster decay = higher initial radioactivity</t>
  </si>
  <si>
    <t>Longer half-life = slower decay = lower initial radioactivity</t>
  </si>
  <si>
    <t>Number of               Half-Lives</t>
  </si>
  <si>
    <t>Half-Life (time)</t>
  </si>
  <si>
    <t>Time Until Fraction</t>
  </si>
  <si>
    <r>
      <t>Energy Change in Nuclear Reactions Δ</t>
    </r>
    <r>
      <rPr>
        <b/>
        <i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= Δ</t>
    </r>
    <r>
      <rPr>
        <b/>
        <i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*</t>
    </r>
    <r>
      <rPr>
        <b/>
        <i/>
        <sz val="11"/>
        <color theme="1"/>
        <rFont val="Calibri"/>
        <family val="2"/>
        <scheme val="minor"/>
      </rPr>
      <t>c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</si>
  <si>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Δ</t>
    </r>
    <r>
      <rPr>
        <i/>
        <sz val="11"/>
        <color theme="1"/>
        <rFont val="Calibri"/>
        <family val="2"/>
        <scheme val="minor"/>
      </rPr>
      <t>m</t>
    </r>
  </si>
  <si>
    <r>
      <t>Δ</t>
    </r>
    <r>
      <rPr>
        <i/>
        <sz val="11"/>
        <color theme="1"/>
        <rFont val="Calibri"/>
        <family val="2"/>
        <scheme val="minor"/>
      </rPr>
      <t>E</t>
    </r>
  </si>
  <si>
    <t>Universal Gas R for Pa and m3</t>
  </si>
  <si>
    <t>Universal Gas R for atm and L</t>
  </si>
  <si>
    <t>Charge of electron</t>
  </si>
  <si>
    <t>MeV</t>
  </si>
  <si>
    <t>J/mol</t>
  </si>
  <si>
    <r>
      <t xml:space="preserve">mass </t>
    </r>
    <r>
      <rPr>
        <i/>
        <sz val="11"/>
        <color theme="1"/>
        <rFont val="Calibri"/>
        <family val="2"/>
        <scheme val="minor"/>
      </rPr>
      <t>u</t>
    </r>
  </si>
  <si>
    <t>Calculating Mass from Applied Current</t>
  </si>
  <si>
    <t>Current A</t>
  </si>
  <si>
    <t>Time s</t>
  </si>
  <si>
    <t>A*t = C</t>
  </si>
  <si>
    <t>Convert C to mol</t>
  </si>
  <si>
    <t>mol of Solid</t>
  </si>
  <si>
    <t>g of Solid</t>
  </si>
  <si>
    <t>moles of Solid Produced</t>
  </si>
  <si>
    <t>molar mass of Solid</t>
  </si>
  <si>
    <r>
      <t>moles of 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Consumed</t>
    </r>
  </si>
  <si>
    <t xml:space="preserve">Using Nernst Equation to Calculate Cell Voltage </t>
  </si>
  <si>
    <t>Nernst Equation</t>
  </si>
  <si>
    <r>
      <t>E</t>
    </r>
    <r>
      <rPr>
        <sz val="11"/>
        <color theme="1"/>
        <rFont val="Calibri"/>
        <family val="2"/>
        <scheme val="minor"/>
      </rPr>
      <t xml:space="preserve"> = Cell Voltage</t>
    </r>
  </si>
  <si>
    <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= Cell Voltage Under Standard Contitions</t>
    </r>
  </si>
  <si>
    <r>
      <t>Q</t>
    </r>
    <r>
      <rPr>
        <sz val="11"/>
        <color theme="1"/>
        <rFont val="Calibri"/>
        <family val="2"/>
        <scheme val="minor"/>
      </rPr>
      <t xml:space="preserve"> = Reaction Quotient</t>
    </r>
  </si>
  <si>
    <r>
      <t>n</t>
    </r>
    <r>
      <rPr>
        <sz val="11"/>
        <color theme="1"/>
        <rFont val="Calibri"/>
        <family val="2"/>
        <scheme val="minor"/>
      </rPr>
      <t xml:space="preserve"> = Number of Electrons Transferred</t>
    </r>
  </si>
  <si>
    <t>F = Faraday Constant</t>
  </si>
  <si>
    <r>
      <t>T</t>
    </r>
    <r>
      <rPr>
        <sz val="11"/>
        <color theme="1"/>
        <rFont val="Calibri"/>
        <family val="2"/>
        <scheme val="minor"/>
      </rPr>
      <t xml:space="preserve"> = Temp in Kelvin</t>
    </r>
  </si>
  <si>
    <r>
      <rPr>
        <b/>
        <i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i/>
        <sz val="11"/>
        <color theme="1"/>
        <rFont val="Calibri"/>
        <family val="2"/>
        <scheme val="minor"/>
      </rPr>
      <t>E</t>
    </r>
    <r>
      <rPr>
        <b/>
        <vertAlign val="super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- (RT/</t>
    </r>
    <r>
      <rPr>
        <b/>
        <i/>
        <sz val="11"/>
        <color theme="1"/>
        <rFont val="Calibri"/>
        <family val="2"/>
        <scheme val="minor"/>
      </rPr>
      <t>nF</t>
    </r>
    <r>
      <rPr>
        <b/>
        <sz val="11"/>
        <color theme="1"/>
        <rFont val="Calibri"/>
        <family val="2"/>
        <scheme val="minor"/>
      </rPr>
      <t>)ln</t>
    </r>
    <r>
      <rPr>
        <b/>
        <i/>
        <sz val="11"/>
        <color theme="1"/>
        <rFont val="Calibri"/>
        <family val="2"/>
        <scheme val="minor"/>
      </rPr>
      <t>Q</t>
    </r>
  </si>
  <si>
    <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Reduction</t>
    </r>
  </si>
  <si>
    <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Oxidation</t>
    </r>
  </si>
  <si>
    <r>
      <t>E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</si>
  <si>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theme="1"/>
        <rFont val="Calibri"/>
        <family val="2"/>
        <scheme val="minor"/>
      </rPr>
      <t xml:space="preserve">Electrons Transferred </t>
    </r>
    <r>
      <rPr>
        <i/>
        <sz val="11"/>
        <color theme="1"/>
        <rFont val="Calibri"/>
        <family val="2"/>
        <scheme val="minor"/>
      </rPr>
      <t>n</t>
    </r>
  </si>
  <si>
    <r>
      <t xml:space="preserve">Reaction Quotient </t>
    </r>
    <r>
      <rPr>
        <i/>
        <sz val="11"/>
        <color theme="1"/>
        <rFont val="Calibri"/>
        <family val="2"/>
        <scheme val="minor"/>
      </rPr>
      <t>Q</t>
    </r>
  </si>
  <si>
    <r>
      <rPr>
        <sz val="11"/>
        <color theme="1"/>
        <rFont val="Calibri"/>
        <family val="2"/>
        <scheme val="minor"/>
      </rPr>
      <t xml:space="preserve">Temp </t>
    </r>
    <r>
      <rPr>
        <sz val="11"/>
        <color theme="1"/>
        <rFont val="Calibri"/>
        <family val="2"/>
      </rPr>
      <t>˚C</t>
    </r>
  </si>
  <si>
    <t>E° (V)</t>
  </si>
  <si>
    <r>
      <t>e</t>
    </r>
    <r>
      <rPr>
        <vertAlign val="superscript"/>
        <sz val="11"/>
        <color theme="1"/>
        <rFont val="Calibri"/>
        <family val="2"/>
        <scheme val="minor"/>
      </rPr>
      <t>-</t>
    </r>
  </si>
  <si>
    <t>Reactant 1 Ion</t>
  </si>
  <si>
    <t>Reactant 2 Ion</t>
  </si>
  <si>
    <r>
      <t>Sn</t>
    </r>
    <r>
      <rPr>
        <vertAlign val="superscript"/>
        <sz val="11"/>
        <color theme="1"/>
        <rFont val="Calibri"/>
        <family val="2"/>
        <scheme val="minor"/>
      </rPr>
      <t>4+</t>
    </r>
    <r>
      <rPr>
        <sz val="11"/>
        <color theme="1"/>
        <rFont val="Calibri"/>
        <family val="2"/>
        <scheme val="minor"/>
      </rPr>
      <t xml:space="preserve"> (aq) + 2e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--&gt; Sn</t>
    </r>
    <r>
      <rPr>
        <vertAlign val="superscript"/>
        <sz val="11"/>
        <color theme="1"/>
        <rFont val="Calibri"/>
        <family val="2"/>
        <scheme val="minor"/>
      </rPr>
      <t>2+</t>
    </r>
    <r>
      <rPr>
        <sz val="11"/>
        <color theme="1"/>
        <rFont val="Calibri"/>
        <family val="2"/>
        <scheme val="minor"/>
      </rPr>
      <t xml:space="preserve"> (aq)</t>
    </r>
  </si>
  <si>
    <t>Max</t>
  </si>
  <si>
    <r>
      <t xml:space="preserve">If Searching by </t>
    </r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° (V) W/O Exact Value, Specify Max or Min</t>
    </r>
  </si>
  <si>
    <t>Product 1 Ion</t>
  </si>
  <si>
    <t>Product 2 Ion</t>
  </si>
  <si>
    <t>Sn2+ (aq) + 2e- --&gt; Sn (s)</t>
  </si>
  <si>
    <t>Use Standard Reaction Potential Table to Help Determine Half reactions</t>
  </si>
  <si>
    <t>N2H4</t>
  </si>
  <si>
    <t>Ag+</t>
  </si>
  <si>
    <t>Cl-</t>
  </si>
  <si>
    <t>AgNO3</t>
  </si>
  <si>
    <t>pb</t>
  </si>
  <si>
    <t>H2O</t>
  </si>
  <si>
    <t>Ammonia Combustion</t>
  </si>
  <si>
    <t>C5H10</t>
  </si>
  <si>
    <t>CxHx</t>
  </si>
  <si>
    <t>CO2</t>
  </si>
  <si>
    <t>Fuel</t>
  </si>
  <si>
    <t>Products</t>
  </si>
  <si>
    <t>Reactants</t>
  </si>
  <si>
    <t>Balance Step 2</t>
  </si>
  <si>
    <t>Balance Step 1</t>
  </si>
  <si>
    <t>Initial Setup</t>
  </si>
  <si>
    <t>Balanced</t>
  </si>
  <si>
    <t>Number of Balloons</t>
  </si>
  <si>
    <t>Balancing a Combustion Equation</t>
  </si>
  <si>
    <t>C4H10</t>
  </si>
  <si>
    <t>HCl</t>
  </si>
  <si>
    <t>CCl4</t>
  </si>
  <si>
    <t>Reaction always goes towards side with 0 mol compound, make oposite "-x"</t>
  </si>
  <si>
    <t>hf</t>
  </si>
  <si>
    <t>Br2</t>
  </si>
  <si>
    <t>C6H6</t>
  </si>
  <si>
    <t>CH3OH</t>
  </si>
  <si>
    <t>C2H5OH</t>
  </si>
  <si>
    <t>HCH3CO2</t>
  </si>
  <si>
    <t>CS2</t>
  </si>
  <si>
    <t>PCl3</t>
  </si>
  <si>
    <t>H2O2</t>
  </si>
  <si>
    <t>TiCl4</t>
  </si>
  <si>
    <t>Liquid Phase</t>
  </si>
  <si>
    <t>Gas Phase</t>
  </si>
  <si>
    <t>HBr</t>
  </si>
  <si>
    <t>Hydrobromic</t>
  </si>
  <si>
    <t>Hydrochloric</t>
  </si>
  <si>
    <t>HClO4</t>
  </si>
  <si>
    <t>l</t>
  </si>
  <si>
    <t>Zn+</t>
  </si>
  <si>
    <t>CO3-</t>
  </si>
  <si>
    <t>NaCl</t>
  </si>
  <si>
    <t>Start Temp</t>
  </si>
  <si>
    <t>Melting Point</t>
  </si>
  <si>
    <t>Heat Added</t>
  </si>
  <si>
    <t>Boiling Point</t>
  </si>
  <si>
    <t>Δ T</t>
  </si>
  <si>
    <t>Total Heat Added kJ/mol</t>
  </si>
  <si>
    <t>Heat Capacity (l) J/K</t>
  </si>
  <si>
    <t>Heat Capacity (s) J/K</t>
  </si>
  <si>
    <t>Heat Capacity (g) J/K</t>
  </si>
  <si>
    <r>
      <rPr>
        <i/>
        <sz val="11"/>
        <color theme="1"/>
        <rFont val="Calibri"/>
        <family val="2"/>
        <scheme val="minor"/>
      </rPr>
      <t>ΔH</t>
    </r>
    <r>
      <rPr>
        <i/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kJ/mol</t>
    </r>
  </si>
  <si>
    <r>
      <rPr>
        <i/>
        <sz val="11"/>
        <color theme="1"/>
        <rFont val="Calibri"/>
        <family val="2"/>
        <scheme val="minor"/>
      </rPr>
      <t>ΔH</t>
    </r>
    <r>
      <rPr>
        <i/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kJ/mol</t>
    </r>
  </si>
  <si>
    <t>Final Temp</t>
  </si>
  <si>
    <t>Final Heat Added</t>
  </si>
  <si>
    <t>Solid Phase</t>
  </si>
  <si>
    <t>Melting</t>
  </si>
  <si>
    <t>New T</t>
  </si>
  <si>
    <t>Boiling</t>
  </si>
  <si>
    <t>Flask Size in ml (use 1 if not given)</t>
  </si>
  <si>
    <t>Reverse Thermochemistry Problem (Old Calculator)</t>
  </si>
  <si>
    <t>Insantaneous Rate of Change</t>
  </si>
  <si>
    <t>Y Value</t>
  </si>
  <si>
    <t>X Value</t>
  </si>
  <si>
    <t>Rate</t>
  </si>
  <si>
    <t>Average Rate of Change</t>
  </si>
  <si>
    <r>
      <t>Y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Value</t>
    </r>
  </si>
  <si>
    <r>
      <t>Y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Value</t>
    </r>
  </si>
  <si>
    <r>
      <t>X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Value</t>
    </r>
  </si>
  <si>
    <r>
      <t>X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Value</t>
    </r>
  </si>
  <si>
    <t>Slope of the Tangent Line</t>
  </si>
  <si>
    <t>Slope of the Secant Line</t>
  </si>
  <si>
    <t>Corner Atoms</t>
  </si>
  <si>
    <t>Number</t>
  </si>
  <si>
    <t>Value</t>
  </si>
  <si>
    <t>Total</t>
  </si>
  <si>
    <t>Edge Atoms</t>
  </si>
  <si>
    <t>Face Center Atoms</t>
  </si>
  <si>
    <t>Body Center Atoms</t>
  </si>
  <si>
    <t>The Unit Cell</t>
  </si>
  <si>
    <t>Finding Atomic Radius from Lattice Constant</t>
  </si>
  <si>
    <t>Radius</t>
  </si>
  <si>
    <r>
      <t xml:space="preserve">Lattice Constant </t>
    </r>
    <r>
      <rPr>
        <i/>
        <sz val="11"/>
        <color theme="1"/>
        <rFont val="Calibri"/>
        <family val="2"/>
        <scheme val="minor"/>
      </rPr>
      <t>a</t>
    </r>
  </si>
  <si>
    <t>1 pm = 1E-10 cm</t>
  </si>
  <si>
    <t>1 nm = 1E-7 cm</t>
  </si>
  <si>
    <t>Common Conversions</t>
  </si>
  <si>
    <t>Spontaneity and Reaction Rate</t>
  </si>
  <si>
    <t>UNRELATED</t>
  </si>
  <si>
    <t>All Dissolved Acid Used Up</t>
  </si>
  <si>
    <t>All Dissolved Acid Not Used Up</t>
  </si>
  <si>
    <t>H = Acid</t>
  </si>
  <si>
    <t>OH = Base</t>
  </si>
  <si>
    <t>Ka = [H3O+][anion]/[HA]</t>
  </si>
  <si>
    <t>Acid Dissociation Constant</t>
  </si>
  <si>
    <t>Chemical Equation Balancing</t>
  </si>
  <si>
    <r>
      <t>Fraction of Original Amont</t>
    </r>
    <r>
      <rPr>
        <sz val="8"/>
        <color theme="1"/>
        <rFont val="Calibri"/>
        <family val="2"/>
        <scheme val="minor"/>
      </rPr>
      <t xml:space="preserve">  (denominator only ex: for 1/16 enter 16)</t>
    </r>
  </si>
  <si>
    <t>Net Ionic Example</t>
  </si>
  <si>
    <t>Molecular Equation</t>
  </si>
  <si>
    <t>Net Ionic Equation</t>
  </si>
  <si>
    <r>
      <rPr>
        <i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in L/s</t>
    </r>
  </si>
  <si>
    <t>H3O</t>
  </si>
  <si>
    <t>BrO-</t>
  </si>
  <si>
    <t>Nitrous</t>
  </si>
  <si>
    <t>CN-</t>
  </si>
  <si>
    <t>na+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</si>
</sst>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"/>
  </numFmts>
  <fonts count="5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C0C0C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rgb="FF0C0C0C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vertAlign val="subscript"/>
      <sz val="11"/>
      <color rgb="FF0C0C0C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i/>
      <vertAlign val="superscript"/>
      <sz val="11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vertAlign val="superscript"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02122"/>
      <name val="Calibri"/>
      <family val="2"/>
      <scheme val="minor"/>
    </font>
    <font>
      <b/>
      <sz val="11"/>
      <color rgb="FF202122"/>
      <name val="Calibri"/>
      <family val="2"/>
      <scheme val="minor"/>
    </font>
    <font>
      <i/>
      <sz val="11"/>
      <color rgb="FF202122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829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vertAlign val="subscript"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vertAlign val="subscript"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9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202122"/>
      <name val="Arial"/>
      <family val="2"/>
    </font>
    <font>
      <vertAlign val="superscript"/>
      <sz val="8"/>
      <color rgb="FF202122"/>
      <name val="Arial"/>
      <family val="2"/>
    </font>
    <font>
      <sz val="11"/>
      <color rgb="FF000000"/>
      <name val="Open Sans"/>
      <family val="2"/>
    </font>
    <font>
      <sz val="12"/>
      <color rgb="FF202122"/>
      <name val="Times New Roman"/>
      <family val="1"/>
    </font>
    <font>
      <i/>
      <sz val="11"/>
      <color rgb="FF000000"/>
      <name val="Open Sans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9" fillId="0" borderId="0" applyNumberFormat="0" applyFill="0" applyBorder="0" applyAlignment="0" applyProtection="0"/>
    <xf numFmtId="9" fontId="56" fillId="0" borderId="0" applyFont="0" applyFill="0" applyBorder="0" applyAlignment="0" applyProtection="0"/>
  </cellStyleXfs>
  <cellXfs count="1045">
    <xf numFmtId="0" fontId="0" fillId="0" borderId="0" xfId="0"/>
    <xf numFmtId="0" fontId="0" fillId="2" borderId="1" xfId="0" applyFill="1" applyBorder="1"/>
    <xf numFmtId="0" fontId="0" fillId="2" borderId="11" xfId="0" applyFill="1" applyBorder="1"/>
    <xf numFmtId="0" fontId="0" fillId="4" borderId="1" xfId="0" applyFill="1" applyBorder="1"/>
    <xf numFmtId="0" fontId="0" fillId="0" borderId="0" xfId="0" applyFill="1"/>
    <xf numFmtId="0" fontId="0" fillId="2" borderId="22" xfId="0" applyFill="1" applyBorder="1"/>
    <xf numFmtId="0" fontId="0" fillId="6" borderId="1" xfId="0" applyFill="1" applyBorder="1"/>
    <xf numFmtId="0" fontId="0" fillId="6" borderId="22" xfId="0" applyFill="1" applyBorder="1"/>
    <xf numFmtId="0" fontId="1" fillId="0" borderId="0" xfId="0" applyFont="1" applyBorder="1" applyAlignment="1"/>
    <xf numFmtId="0" fontId="0" fillId="2" borderId="30" xfId="0" applyFill="1" applyBorder="1"/>
    <xf numFmtId="0" fontId="0" fillId="6" borderId="24" xfId="0" applyFill="1" applyBorder="1"/>
    <xf numFmtId="0" fontId="0" fillId="6" borderId="6" xfId="0" applyFill="1" applyBorder="1"/>
    <xf numFmtId="0" fontId="0" fillId="6" borderId="11" xfId="0" applyFill="1" applyBorder="1"/>
    <xf numFmtId="0" fontId="0" fillId="2" borderId="12" xfId="0" applyFill="1" applyBorder="1"/>
    <xf numFmtId="0" fontId="1" fillId="7" borderId="22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0" fillId="8" borderId="5" xfId="0" applyFill="1" applyBorder="1"/>
    <xf numFmtId="0" fontId="0" fillId="8" borderId="23" xfId="0" applyFill="1" applyBorder="1"/>
    <xf numFmtId="0" fontId="0" fillId="2" borderId="6" xfId="0" applyFill="1" applyBorder="1"/>
    <xf numFmtId="0" fontId="0" fillId="4" borderId="12" xfId="0" applyFill="1" applyBorder="1"/>
    <xf numFmtId="0" fontId="0" fillId="8" borderId="1" xfId="0" applyFill="1" applyBorder="1"/>
    <xf numFmtId="0" fontId="1" fillId="7" borderId="2" xfId="0" applyFont="1" applyFill="1" applyBorder="1"/>
    <xf numFmtId="0" fontId="0" fillId="0" borderId="0" xfId="0" applyBorder="1"/>
    <xf numFmtId="0" fontId="0" fillId="8" borderId="6" xfId="0" applyFill="1" applyBorder="1"/>
    <xf numFmtId="0" fontId="0" fillId="8" borderId="5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0" borderId="0" xfId="0"/>
    <xf numFmtId="0" fontId="0" fillId="0" borderId="0" xfId="0" applyAlignment="1"/>
    <xf numFmtId="0" fontId="0" fillId="0" borderId="0" xfId="0" applyBorder="1" applyAlignment="1"/>
    <xf numFmtId="0" fontId="0" fillId="0" borderId="0" xfId="0" applyFill="1" applyBorder="1" applyAlignment="1"/>
    <xf numFmtId="0" fontId="0" fillId="4" borderId="6" xfId="0" applyFill="1" applyBorder="1"/>
    <xf numFmtId="0" fontId="9" fillId="8" borderId="1" xfId="0" applyFont="1" applyFill="1" applyBorder="1" applyAlignment="1">
      <alignment horizontal="center"/>
    </xf>
    <xf numFmtId="0" fontId="0" fillId="8" borderId="30" xfId="0" applyFill="1" applyBorder="1"/>
    <xf numFmtId="0" fontId="0" fillId="4" borderId="30" xfId="0" applyFill="1" applyBorder="1"/>
    <xf numFmtId="0" fontId="1" fillId="0" borderId="0" xfId="0" applyFont="1" applyFill="1" applyBorder="1" applyAlignment="1"/>
    <xf numFmtId="0" fontId="18" fillId="0" borderId="0" xfId="0" applyFont="1" applyFill="1" applyBorder="1"/>
    <xf numFmtId="0" fontId="19" fillId="0" borderId="0" xfId="0" applyFont="1" applyFill="1" applyBorder="1" applyAlignment="1"/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wrapText="1"/>
    </xf>
    <xf numFmtId="0" fontId="0" fillId="8" borderId="39" xfId="0" applyFill="1" applyBorder="1"/>
    <xf numFmtId="0" fontId="0" fillId="2" borderId="1" xfId="0" applyFill="1" applyBorder="1" applyAlignment="1"/>
    <xf numFmtId="164" fontId="0" fillId="6" borderId="12" xfId="0" applyNumberFormat="1" applyFill="1" applyBorder="1"/>
    <xf numFmtId="0" fontId="0" fillId="6" borderId="12" xfId="0" applyFill="1" applyBorder="1" applyAlignment="1"/>
    <xf numFmtId="11" fontId="0" fillId="8" borderId="1" xfId="0" applyNumberFormat="1" applyFill="1" applyBorder="1"/>
    <xf numFmtId="0" fontId="0" fillId="10" borderId="1" xfId="0" applyFont="1" applyFill="1" applyBorder="1"/>
    <xf numFmtId="0" fontId="0" fillId="7" borderId="1" xfId="0" applyFill="1" applyBorder="1"/>
    <xf numFmtId="0" fontId="0" fillId="8" borderId="1" xfId="0" applyFont="1" applyFill="1" applyBorder="1"/>
    <xf numFmtId="0" fontId="0" fillId="8" borderId="11" xfId="0" applyFont="1" applyFill="1" applyBorder="1"/>
    <xf numFmtId="0" fontId="0" fillId="8" borderId="1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/>
    </xf>
    <xf numFmtId="0" fontId="0" fillId="8" borderId="24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28" xfId="0" applyBorder="1"/>
    <xf numFmtId="0" fontId="0" fillId="0" borderId="44" xfId="0" applyBorder="1"/>
    <xf numFmtId="0" fontId="0" fillId="8" borderId="23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18" fillId="8" borderId="1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Font="1" applyFill="1" applyBorder="1" applyAlignment="1"/>
    <xf numFmtId="0" fontId="0" fillId="2" borderId="6" xfId="0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/>
    </xf>
    <xf numFmtId="0" fontId="8" fillId="8" borderId="22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8" borderId="22" xfId="0" applyFill="1" applyBorder="1"/>
    <xf numFmtId="0" fontId="0" fillId="8" borderId="23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14" fontId="0" fillId="0" borderId="0" xfId="0" applyNumberFormat="1"/>
    <xf numFmtId="0" fontId="0" fillId="2" borderId="1" xfId="0" applyFill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2" fontId="0" fillId="0" borderId="0" xfId="0" applyNumberFormat="1"/>
    <xf numFmtId="0" fontId="0" fillId="8" borderId="12" xfId="0" applyFill="1" applyBorder="1"/>
    <xf numFmtId="0" fontId="9" fillId="8" borderId="23" xfId="0" applyFont="1" applyFill="1" applyBorder="1"/>
    <xf numFmtId="0" fontId="0" fillId="2" borderId="5" xfId="0" applyFill="1" applyBorder="1"/>
    <xf numFmtId="0" fontId="0" fillId="2" borderId="39" xfId="0" applyFill="1" applyBorder="1"/>
    <xf numFmtId="0" fontId="6" fillId="6" borderId="6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/>
    </xf>
    <xf numFmtId="0" fontId="0" fillId="0" borderId="0" xfId="0" applyFont="1"/>
    <xf numFmtId="0" fontId="0" fillId="8" borderId="12" xfId="0" applyFont="1" applyFill="1" applyBorder="1" applyAlignment="1">
      <alignment horizontal="center" vertical="center"/>
    </xf>
    <xf numFmtId="0" fontId="0" fillId="8" borderId="5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 vertical="center"/>
    </xf>
    <xf numFmtId="0" fontId="0" fillId="4" borderId="11" xfId="0" applyFill="1" applyBorder="1"/>
    <xf numFmtId="0" fontId="0" fillId="11" borderId="24" xfId="0" applyFill="1" applyBorder="1"/>
    <xf numFmtId="0" fontId="0" fillId="11" borderId="34" xfId="0" applyFill="1" applyBorder="1" applyAlignment="1"/>
    <xf numFmtId="0" fontId="0" fillId="11" borderId="40" xfId="0" applyFill="1" applyBorder="1" applyAlignment="1"/>
    <xf numFmtId="0" fontId="0" fillId="11" borderId="0" xfId="0" applyFill="1" applyBorder="1" applyAlignment="1"/>
    <xf numFmtId="0" fontId="0" fillId="11" borderId="42" xfId="0" applyFill="1" applyBorder="1" applyAlignment="1"/>
    <xf numFmtId="0" fontId="0" fillId="11" borderId="32" xfId="0" applyFill="1" applyBorder="1" applyAlignment="1"/>
    <xf numFmtId="0" fontId="0" fillId="11" borderId="38" xfId="0" applyFill="1" applyBorder="1" applyAlignment="1"/>
    <xf numFmtId="0" fontId="0" fillId="11" borderId="0" xfId="0" applyFill="1" applyBorder="1"/>
    <xf numFmtId="0" fontId="0" fillId="11" borderId="42" xfId="0" applyFill="1" applyBorder="1"/>
    <xf numFmtId="0" fontId="0" fillId="11" borderId="44" xfId="0" applyFill="1" applyBorder="1"/>
    <xf numFmtId="0" fontId="0" fillId="11" borderId="16" xfId="0" applyFill="1" applyBorder="1"/>
    <xf numFmtId="0" fontId="0" fillId="2" borderId="1" xfId="0" applyFont="1" applyFill="1" applyBorder="1" applyAlignment="1"/>
    <xf numFmtId="0" fontId="6" fillId="6" borderId="1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0" fillId="4" borderId="18" xfId="0" applyFill="1" applyBorder="1"/>
    <xf numFmtId="0" fontId="0" fillId="0" borderId="0" xfId="0" applyAlignment="1">
      <alignment horizontal="left"/>
    </xf>
    <xf numFmtId="0" fontId="9" fillId="0" borderId="0" xfId="0" applyFont="1" applyFill="1" applyBorder="1" applyAlignment="1">
      <alignment horizontal="center"/>
    </xf>
    <xf numFmtId="0" fontId="0" fillId="11" borderId="11" xfId="0" applyFill="1" applyBorder="1"/>
    <xf numFmtId="0" fontId="0" fillId="2" borderId="1" xfId="0" applyNumberFormat="1" applyFill="1" applyBorder="1" applyAlignment="1">
      <alignment horizontal="center" vertical="center"/>
    </xf>
    <xf numFmtId="0" fontId="9" fillId="8" borderId="1" xfId="0" applyNumberFormat="1" applyFon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12" fontId="0" fillId="2" borderId="1" xfId="0" applyNumberFormat="1" applyFill="1" applyBorder="1" applyAlignment="1">
      <alignment horizontal="center" vertical="center"/>
    </xf>
    <xf numFmtId="12" fontId="0" fillId="2" borderId="11" xfId="0" applyNumberForma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8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1" fontId="0" fillId="6" borderId="11" xfId="0" applyNumberFormat="1" applyFill="1" applyBorder="1"/>
    <xf numFmtId="0" fontId="0" fillId="8" borderId="37" xfId="0" applyFill="1" applyBorder="1"/>
    <xf numFmtId="0" fontId="0" fillId="8" borderId="28" xfId="0" applyFill="1" applyBorder="1"/>
    <xf numFmtId="0" fontId="35" fillId="7" borderId="22" xfId="0" applyFont="1" applyFill="1" applyBorder="1" applyAlignment="1">
      <alignment horizontal="center" vertical="center"/>
    </xf>
    <xf numFmtId="0" fontId="35" fillId="7" borderId="24" xfId="0" applyFont="1" applyFill="1" applyBorder="1" applyAlignment="1">
      <alignment horizontal="center" vertical="center"/>
    </xf>
    <xf numFmtId="0" fontId="20" fillId="8" borderId="6" xfId="0" applyFont="1" applyFill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0" fillId="8" borderId="12" xfId="0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0" fillId="0" borderId="0" xfId="0" applyNumberFormat="1"/>
    <xf numFmtId="11" fontId="0" fillId="6" borderId="1" xfId="0" applyNumberFormat="1" applyFill="1" applyBorder="1"/>
    <xf numFmtId="0" fontId="0" fillId="2" borderId="8" xfId="0" applyFill="1" applyBorder="1" applyAlignment="1"/>
    <xf numFmtId="0" fontId="0" fillId="8" borderId="0" xfId="0" applyFill="1" applyBorder="1"/>
    <xf numFmtId="0" fontId="0" fillId="8" borderId="42" xfId="0" applyFill="1" applyBorder="1"/>
    <xf numFmtId="0" fontId="0" fillId="8" borderId="44" xfId="0" applyFill="1" applyBorder="1"/>
    <xf numFmtId="0" fontId="0" fillId="8" borderId="16" xfId="0" applyFill="1" applyBorder="1"/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11" fontId="0" fillId="0" borderId="0" xfId="0" applyNumberForma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11" fontId="0" fillId="0" borderId="0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11" fontId="0" fillId="0" borderId="0" xfId="0" applyNumberFormat="1" applyFill="1" applyBorder="1" applyAlignment="1">
      <alignment horizontal="center"/>
    </xf>
    <xf numFmtId="0" fontId="9" fillId="8" borderId="1" xfId="0" applyFont="1" applyFill="1" applyBorder="1"/>
    <xf numFmtId="0" fontId="0" fillId="12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6" xfId="0" applyFont="1" applyFill="1" applyBorder="1" applyAlignment="1">
      <alignment horizontal="center" vertical="center"/>
    </xf>
    <xf numFmtId="0" fontId="0" fillId="8" borderId="24" xfId="0" applyFill="1" applyBorder="1"/>
    <xf numFmtId="0" fontId="34" fillId="11" borderId="34" xfId="0" applyFont="1" applyFill="1" applyBorder="1" applyAlignment="1"/>
    <xf numFmtId="0" fontId="34" fillId="11" borderId="40" xfId="0" applyFont="1" applyFill="1" applyBorder="1" applyAlignment="1"/>
    <xf numFmtId="2" fontId="0" fillId="0" borderId="0" xfId="0" applyNumberFormat="1"/>
    <xf numFmtId="0" fontId="0" fillId="11" borderId="50" xfId="0" applyFill="1" applyBorder="1" applyAlignment="1"/>
    <xf numFmtId="0" fontId="0" fillId="11" borderId="46" xfId="0" applyFill="1" applyBorder="1" applyAlignment="1"/>
    <xf numFmtId="11" fontId="0" fillId="6" borderId="11" xfId="0" applyNumberFormat="1" applyFill="1" applyBorder="1" applyAlignment="1">
      <alignment horizontal="center" vertical="center"/>
    </xf>
    <xf numFmtId="11" fontId="0" fillId="6" borderId="12" xfId="0" applyNumberFormat="1" applyFill="1" applyBorder="1"/>
    <xf numFmtId="11" fontId="0" fillId="6" borderId="6" xfId="0" applyNumberFormat="1" applyFill="1" applyBorder="1"/>
    <xf numFmtId="0" fontId="0" fillId="0" borderId="37" xfId="0" applyFill="1" applyBorder="1" applyAlignment="1">
      <alignment horizontal="center"/>
    </xf>
    <xf numFmtId="0" fontId="6" fillId="8" borderId="5" xfId="0" applyFont="1" applyFill="1" applyBorder="1"/>
    <xf numFmtId="0" fontId="0" fillId="11" borderId="5" xfId="0" applyFill="1" applyBorder="1"/>
    <xf numFmtId="0" fontId="0" fillId="4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/>
    </xf>
    <xf numFmtId="0" fontId="1" fillId="7" borderId="22" xfId="0" applyFont="1" applyFill="1" applyBorder="1" applyAlignment="1"/>
    <xf numFmtId="11" fontId="0" fillId="6" borderId="12" xfId="0" applyNumberFormat="1" applyFill="1" applyBorder="1" applyAlignment="1">
      <alignment horizontal="center" vertical="center"/>
    </xf>
    <xf numFmtId="11" fontId="0" fillId="6" borderId="11" xfId="0" applyNumberForma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8" borderId="1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6" borderId="1" xfId="0" applyFill="1" applyBorder="1" applyAlignment="1"/>
    <xf numFmtId="0" fontId="0" fillId="6" borderId="6" xfId="0" applyFill="1" applyBorder="1" applyAlignment="1"/>
    <xf numFmtId="0" fontId="19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8" borderId="1" xfId="0" applyFill="1" applyBorder="1" applyAlignment="1"/>
    <xf numFmtId="0" fontId="0" fillId="2" borderId="22" xfId="0" applyFont="1" applyFill="1" applyBorder="1" applyAlignment="1">
      <alignment horizontal="center" vertical="center"/>
    </xf>
    <xf numFmtId="2" fontId="0" fillId="6" borderId="12" xfId="0" applyNumberForma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45" fillId="8" borderId="2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4" borderId="6" xfId="0" applyNumberFormat="1" applyFill="1" applyBorder="1" applyAlignment="1"/>
    <xf numFmtId="0" fontId="0" fillId="4" borderId="17" xfId="0" applyNumberFormat="1" applyFill="1" applyBorder="1" applyAlignment="1"/>
    <xf numFmtId="0" fontId="49" fillId="8" borderId="1" xfId="0" applyFont="1" applyFill="1" applyBorder="1" applyAlignment="1">
      <alignment horizontal="center" vertical="center"/>
    </xf>
    <xf numFmtId="0" fontId="45" fillId="8" borderId="24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18" fillId="8" borderId="11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0" fontId="29" fillId="0" borderId="0" xfId="1" applyAlignment="1"/>
    <xf numFmtId="11" fontId="0" fillId="6" borderId="11" xfId="0" applyNumberFormat="1" applyFill="1" applyBorder="1" applyAlignment="1"/>
    <xf numFmtId="16" fontId="0" fillId="8" borderId="24" xfId="0" applyNumberFormat="1" applyFill="1" applyBorder="1" applyAlignment="1">
      <alignment horizontal="center" vertical="center"/>
    </xf>
    <xf numFmtId="16" fontId="0" fillId="8" borderId="6" xfId="0" applyNumberFormat="1" applyFill="1" applyBorder="1" applyAlignment="1">
      <alignment horizontal="center" vertical="center"/>
    </xf>
    <xf numFmtId="16" fontId="0" fillId="8" borderId="12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/>
    </xf>
    <xf numFmtId="0" fontId="0" fillId="8" borderId="1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/>
    </xf>
    <xf numFmtId="0" fontId="0" fillId="6" borderId="12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/>
    </xf>
    <xf numFmtId="0" fontId="0" fillId="8" borderId="1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" fontId="0" fillId="0" borderId="0" xfId="0" applyNumberFormat="1" applyFill="1" applyBorder="1" applyAlignment="1">
      <alignment horizontal="center" vertical="center"/>
    </xf>
    <xf numFmtId="0" fontId="0" fillId="4" borderId="1" xfId="0" applyFill="1" applyBorder="1" applyAlignment="1"/>
    <xf numFmtId="11" fontId="0" fillId="4" borderId="1" xfId="0" applyNumberFormat="1" applyFill="1" applyBorder="1" applyAlignment="1"/>
    <xf numFmtId="0" fontId="1" fillId="0" borderId="0" xfId="0" applyFont="1" applyFill="1" applyBorder="1" applyAlignment="1">
      <alignment vertical="center"/>
    </xf>
    <xf numFmtId="11" fontId="0" fillId="4" borderId="30" xfId="0" applyNumberFormat="1" applyFill="1" applyBorder="1" applyAlignment="1"/>
    <xf numFmtId="0" fontId="9" fillId="0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7" borderId="32" xfId="0" applyFont="1" applyFill="1" applyBorder="1" applyAlignment="1">
      <alignment vertical="center"/>
    </xf>
    <xf numFmtId="0" fontId="1" fillId="7" borderId="38" xfId="0" applyFont="1" applyFill="1" applyBorder="1" applyAlignment="1">
      <alignment vertical="center"/>
    </xf>
    <xf numFmtId="0" fontId="0" fillId="4" borderId="24" xfId="0" applyFont="1" applyFill="1" applyBorder="1" applyAlignment="1">
      <alignment horizontal="center"/>
    </xf>
    <xf numFmtId="0" fontId="0" fillId="2" borderId="30" xfId="0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0" fillId="8" borderId="1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10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8" borderId="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/>
    </xf>
    <xf numFmtId="0" fontId="1" fillId="7" borderId="22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11" fontId="0" fillId="6" borderId="11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6" fillId="8" borderId="1" xfId="0" applyFont="1" applyFill="1" applyBorder="1"/>
    <xf numFmtId="0" fontId="0" fillId="4" borderId="5" xfId="0" applyFill="1" applyBorder="1"/>
    <xf numFmtId="0" fontId="0" fillId="6" borderId="5" xfId="0" applyFill="1" applyBorder="1"/>
    <xf numFmtId="0" fontId="0" fillId="6" borderId="10" xfId="0" applyFill="1" applyBorder="1"/>
    <xf numFmtId="0" fontId="0" fillId="8" borderId="1" xfId="0" applyFill="1" applyBorder="1" applyAlignment="1">
      <alignment vertical="center"/>
    </xf>
    <xf numFmtId="0" fontId="20" fillId="8" borderId="1" xfId="0" applyFont="1" applyFill="1" applyBorder="1" applyAlignment="1">
      <alignment horizontal="center"/>
    </xf>
    <xf numFmtId="0" fontId="20" fillId="8" borderId="11" xfId="0" applyFont="1" applyFill="1" applyBorder="1" applyAlignment="1">
      <alignment horizontal="center"/>
    </xf>
    <xf numFmtId="0" fontId="20" fillId="8" borderId="17" xfId="0" applyFont="1" applyFill="1" applyBorder="1" applyAlignment="1">
      <alignment horizontal="center"/>
    </xf>
    <xf numFmtId="0" fontId="20" fillId="8" borderId="14" xfId="0" applyFont="1" applyFill="1" applyBorder="1" applyAlignment="1">
      <alignment horizontal="center"/>
    </xf>
    <xf numFmtId="0" fontId="35" fillId="7" borderId="22" xfId="0" applyFont="1" applyFill="1" applyBorder="1" applyAlignment="1">
      <alignment horizontal="center"/>
    </xf>
    <xf numFmtId="0" fontId="35" fillId="7" borderId="31" xfId="0" applyFont="1" applyFill="1" applyBorder="1" applyAlignment="1">
      <alignment horizontal="center"/>
    </xf>
    <xf numFmtId="0" fontId="0" fillId="6" borderId="12" xfId="0" applyFill="1" applyBorder="1"/>
    <xf numFmtId="11" fontId="0" fillId="0" borderId="0" xfId="0" applyNumberFormat="1"/>
    <xf numFmtId="0" fontId="3" fillId="11" borderId="17" xfId="0" applyFont="1" applyFill="1" applyBorder="1"/>
    <xf numFmtId="0" fontId="3" fillId="11" borderId="18" xfId="0" applyFont="1" applyFill="1" applyBorder="1"/>
    <xf numFmtId="0" fontId="0" fillId="8" borderId="5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11" fontId="0" fillId="8" borderId="1" xfId="0" applyNumberFormat="1" applyFill="1" applyBorder="1" applyAlignment="1">
      <alignment horizontal="center" vertical="center"/>
    </xf>
    <xf numFmtId="11" fontId="0" fillId="8" borderId="6" xfId="0" applyNumberFormat="1" applyFill="1" applyBorder="1" applyAlignment="1">
      <alignment horizontal="center" vertical="center"/>
    </xf>
    <xf numFmtId="0" fontId="0" fillId="8" borderId="10" xfId="0" applyFont="1" applyFill="1" applyBorder="1" applyAlignment="1">
      <alignment horizontal="center" vertical="center"/>
    </xf>
    <xf numFmtId="0" fontId="0" fillId="8" borderId="1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7" borderId="6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6" xfId="0" applyFont="1" applyFill="1" applyBorder="1" applyAlignment="1">
      <alignment horizontal="center" vertical="center"/>
    </xf>
    <xf numFmtId="0" fontId="0" fillId="4" borderId="6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7" borderId="25" xfId="0" applyFont="1" applyFill="1" applyBorder="1" applyAlignment="1">
      <alignment horizontal="center" vertical="center"/>
    </xf>
    <xf numFmtId="0" fontId="0" fillId="7" borderId="29" xfId="0" applyFont="1" applyFill="1" applyBorder="1" applyAlignment="1">
      <alignment horizontal="center" vertical="center"/>
    </xf>
    <xf numFmtId="0" fontId="0" fillId="7" borderId="36" xfId="0" applyFont="1" applyFill="1" applyBorder="1" applyAlignment="1">
      <alignment horizontal="center" vertical="center"/>
    </xf>
    <xf numFmtId="0" fontId="29" fillId="0" borderId="0" xfId="1" applyAlignment="1">
      <alignment horizontal="left"/>
    </xf>
    <xf numFmtId="0" fontId="0" fillId="8" borderId="10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27" xfId="0" applyFill="1" applyBorder="1" applyAlignment="1">
      <alignment horizontal="center" vertical="center" wrapText="1"/>
    </xf>
    <xf numFmtId="0" fontId="0" fillId="8" borderId="53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28" xfId="0" applyFill="1" applyBorder="1" applyAlignment="1">
      <alignment horizontal="center" vertical="center" wrapText="1"/>
    </xf>
    <xf numFmtId="0" fontId="0" fillId="8" borderId="44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1" fillId="7" borderId="19" xfId="0" applyFont="1" applyFill="1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1" fillId="7" borderId="21" xfId="0" applyFont="1" applyFill="1" applyBorder="1" applyAlignment="1">
      <alignment horizontal="center"/>
    </xf>
    <xf numFmtId="0" fontId="0" fillId="8" borderId="27" xfId="0" applyFill="1" applyBorder="1" applyAlignment="1">
      <alignment horizontal="center" wrapText="1"/>
    </xf>
    <xf numFmtId="0" fontId="0" fillId="8" borderId="53" xfId="0" applyFill="1" applyBorder="1" applyAlignment="1">
      <alignment horizontal="center" wrapText="1"/>
    </xf>
    <xf numFmtId="0" fontId="0" fillId="8" borderId="15" xfId="0" applyFill="1" applyBorder="1" applyAlignment="1">
      <alignment horizontal="center" wrapText="1"/>
    </xf>
    <xf numFmtId="0" fontId="0" fillId="8" borderId="61" xfId="0" applyFill="1" applyBorder="1" applyAlignment="1">
      <alignment horizontal="center" wrapText="1"/>
    </xf>
    <xf numFmtId="0" fontId="0" fillId="8" borderId="32" xfId="0" applyFill="1" applyBorder="1" applyAlignment="1">
      <alignment horizontal="center" wrapText="1"/>
    </xf>
    <xf numFmtId="0" fontId="0" fillId="8" borderId="38" xfId="0" applyFill="1" applyBorder="1" applyAlignment="1">
      <alignment horizontal="center" wrapText="1"/>
    </xf>
    <xf numFmtId="0" fontId="0" fillId="8" borderId="47" xfId="0" applyFill="1" applyBorder="1" applyAlignment="1">
      <alignment horizontal="center" vertical="center" wrapText="1"/>
    </xf>
    <xf numFmtId="0" fontId="0" fillId="8" borderId="34" xfId="0" applyFill="1" applyBorder="1" applyAlignment="1">
      <alignment horizontal="center" vertical="center" wrapText="1"/>
    </xf>
    <xf numFmtId="0" fontId="0" fillId="8" borderId="40" xfId="0" applyFill="1" applyBorder="1" applyAlignment="1">
      <alignment horizontal="center" vertical="center" wrapText="1"/>
    </xf>
    <xf numFmtId="0" fontId="0" fillId="8" borderId="61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0" fillId="8" borderId="38" xfId="0" applyFill="1" applyBorder="1" applyAlignment="1">
      <alignment horizontal="center" vertical="center" wrapText="1"/>
    </xf>
    <xf numFmtId="0" fontId="0" fillId="10" borderId="35" xfId="0" applyFill="1" applyBorder="1" applyAlignment="1">
      <alignment horizontal="center" wrapText="1"/>
    </xf>
    <xf numFmtId="0" fontId="0" fillId="10" borderId="34" xfId="0" applyFill="1" applyBorder="1" applyAlignment="1">
      <alignment horizontal="center" wrapText="1"/>
    </xf>
    <xf numFmtId="0" fontId="0" fillId="10" borderId="40" xfId="0" applyFill="1" applyBorder="1" applyAlignment="1">
      <alignment horizontal="center" wrapText="1"/>
    </xf>
    <xf numFmtId="0" fontId="0" fillId="10" borderId="31" xfId="0" applyFill="1" applyBorder="1" applyAlignment="1">
      <alignment horizontal="center" wrapText="1"/>
    </xf>
    <xf numFmtId="0" fontId="0" fillId="10" borderId="32" xfId="0" applyFill="1" applyBorder="1" applyAlignment="1">
      <alignment horizontal="center" wrapText="1"/>
    </xf>
    <xf numFmtId="0" fontId="0" fillId="10" borderId="38" xfId="0" applyFill="1" applyBorder="1" applyAlignment="1">
      <alignment horizontal="center" wrapText="1"/>
    </xf>
    <xf numFmtId="0" fontId="0" fillId="7" borderId="35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1" fillId="7" borderId="23" xfId="0" applyFont="1" applyFill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11" fontId="0" fillId="8" borderId="22" xfId="0" applyNumberFormat="1" applyFill="1" applyBorder="1" applyAlignment="1">
      <alignment horizontal="center" vertical="center"/>
    </xf>
    <xf numFmtId="11" fontId="0" fillId="8" borderId="24" xfId="0" applyNumberFormat="1" applyFill="1" applyBorder="1" applyAlignment="1">
      <alignment horizontal="center" vertical="center"/>
    </xf>
    <xf numFmtId="0" fontId="1" fillId="7" borderId="68" xfId="0" applyFont="1" applyFill="1" applyBorder="1" applyAlignment="1">
      <alignment horizontal="center" vertical="center"/>
    </xf>
    <xf numFmtId="0" fontId="1" fillId="7" borderId="64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11" fontId="0" fillId="8" borderId="11" xfId="0" applyNumberFormat="1" applyFill="1" applyBorder="1" applyAlignment="1">
      <alignment horizontal="center" vertical="center"/>
    </xf>
    <xf numFmtId="11" fontId="0" fillId="8" borderId="12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0" xfId="0" applyNumberFormat="1" applyFill="1" applyBorder="1" applyAlignment="1">
      <alignment horizontal="center"/>
    </xf>
    <xf numFmtId="0" fontId="0" fillId="6" borderId="11" xfId="0" applyNumberFormat="1" applyFill="1" applyBorder="1" applyAlignment="1">
      <alignment horizontal="center"/>
    </xf>
    <xf numFmtId="0" fontId="0" fillId="2" borderId="14" xfId="0" applyNumberFormat="1" applyFill="1" applyBorder="1" applyAlignment="1">
      <alignment horizontal="center"/>
    </xf>
    <xf numFmtId="0" fontId="0" fillId="2" borderId="59" xfId="0" applyNumberFormat="1" applyFill="1" applyBorder="1" applyAlignment="1">
      <alignment horizontal="center"/>
    </xf>
    <xf numFmtId="0" fontId="18" fillId="8" borderId="61" xfId="0" applyFont="1" applyFill="1" applyBorder="1" applyAlignment="1">
      <alignment horizontal="center" vertical="center"/>
    </xf>
    <xf numFmtId="0" fontId="18" fillId="8" borderId="32" xfId="0" applyFont="1" applyFill="1" applyBorder="1" applyAlignment="1">
      <alignment horizontal="center" vertical="center"/>
    </xf>
    <xf numFmtId="0" fontId="18" fillId="8" borderId="54" xfId="0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horizontal="center" vertical="center"/>
    </xf>
    <xf numFmtId="0" fontId="18" fillId="8" borderId="38" xfId="0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/>
    </xf>
    <xf numFmtId="0" fontId="19" fillId="7" borderId="8" xfId="0" applyFont="1" applyFill="1" applyBorder="1" applyAlignment="1">
      <alignment horizontal="center"/>
    </xf>
    <xf numFmtId="0" fontId="19" fillId="7" borderId="9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0" fillId="8" borderId="24" xfId="0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8" fillId="8" borderId="11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0" fillId="11" borderId="27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11" borderId="3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1" borderId="42" xfId="0" applyFill="1" applyBorder="1" applyAlignment="1">
      <alignment horizontal="center"/>
    </xf>
    <xf numFmtId="0" fontId="0" fillId="11" borderId="28" xfId="0" applyFill="1" applyBorder="1" applyAlignment="1">
      <alignment horizontal="center"/>
    </xf>
    <xf numFmtId="0" fontId="0" fillId="11" borderId="44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8" borderId="6" xfId="0" applyFill="1" applyBorder="1" applyAlignment="1">
      <alignment horizontal="center" vertical="center"/>
    </xf>
    <xf numFmtId="0" fontId="1" fillId="7" borderId="19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1" fillId="7" borderId="24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2" borderId="1" xfId="0" applyFill="1" applyBorder="1" applyAlignment="1"/>
    <xf numFmtId="0" fontId="0" fillId="4" borderId="1" xfId="0" applyFill="1" applyBorder="1" applyAlignment="1"/>
    <xf numFmtId="0" fontId="0" fillId="6" borderId="1" xfId="0" applyFill="1" applyBorder="1" applyAlignment="1"/>
    <xf numFmtId="0" fontId="1" fillId="7" borderId="5" xfId="0" applyFont="1" applyFill="1" applyBorder="1" applyAlignment="1">
      <alignment horizontal="center" vertical="center" wrapText="1"/>
    </xf>
    <xf numFmtId="0" fontId="1" fillId="7" borderId="22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1" fontId="0" fillId="6" borderId="11" xfId="0" applyNumberFormat="1" applyFill="1" applyBorder="1" applyAlignment="1">
      <alignment horizontal="center"/>
    </xf>
    <xf numFmtId="11" fontId="0" fillId="6" borderId="12" xfId="0" applyNumberFormat="1" applyFill="1" applyBorder="1" applyAlignment="1">
      <alignment horizontal="center"/>
    </xf>
    <xf numFmtId="11" fontId="0" fillId="6" borderId="1" xfId="0" applyNumberFormat="1" applyFill="1" applyBorder="1" applyAlignment="1">
      <alignment horizontal="center" vertical="center"/>
    </xf>
    <xf numFmtId="0" fontId="0" fillId="6" borderId="1" xfId="0" applyNumberFormat="1" applyFill="1" applyBorder="1" applyAlignment="1">
      <alignment horizontal="center" vertical="center"/>
    </xf>
    <xf numFmtId="11" fontId="0" fillId="6" borderId="17" xfId="0" applyNumberFormat="1" applyFill="1" applyBorder="1" applyAlignment="1">
      <alignment horizontal="center" vertical="center"/>
    </xf>
    <xf numFmtId="11" fontId="0" fillId="6" borderId="18" xfId="0" applyNumberFormat="1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/>
    </xf>
    <xf numFmtId="0" fontId="0" fillId="5" borderId="1" xfId="0" applyFill="1" applyBorder="1"/>
    <xf numFmtId="0" fontId="1" fillId="7" borderId="2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4" xfId="0" applyFill="1" applyBorder="1" applyAlignment="1">
      <alignment horizontal="center"/>
    </xf>
    <xf numFmtId="0" fontId="0" fillId="11" borderId="45" xfId="0" applyFill="1" applyBorder="1" applyAlignment="1">
      <alignment horizontal="center"/>
    </xf>
    <xf numFmtId="0" fontId="0" fillId="11" borderId="31" xfId="0" applyFill="1" applyBorder="1" applyAlignment="1">
      <alignment horizontal="center"/>
    </xf>
    <xf numFmtId="0" fontId="0" fillId="11" borderId="32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0" fillId="8" borderId="36" xfId="0" applyFill="1" applyBorder="1" applyAlignment="1">
      <alignment horizontal="center"/>
    </xf>
    <xf numFmtId="0" fontId="0" fillId="6" borderId="30" xfId="0" applyFill="1" applyBorder="1" applyAlignment="1">
      <alignment horizontal="center" vertical="center" wrapText="1"/>
    </xf>
    <xf numFmtId="0" fontId="0" fillId="6" borderId="57" xfId="0" applyFill="1" applyBorder="1" applyAlignment="1">
      <alignment horizontal="center" vertical="center" wrapText="1"/>
    </xf>
    <xf numFmtId="0" fontId="0" fillId="6" borderId="58" xfId="0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0" fontId="0" fillId="6" borderId="55" xfId="0" applyFill="1" applyBorder="1" applyAlignment="1">
      <alignment horizontal="center" vertical="center" wrapText="1"/>
    </xf>
    <xf numFmtId="0" fontId="0" fillId="6" borderId="35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7" fillId="8" borderId="5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9" fillId="7" borderId="52" xfId="0" applyFont="1" applyFill="1" applyBorder="1" applyAlignment="1">
      <alignment horizontal="center"/>
    </xf>
    <xf numFmtId="0" fontId="9" fillId="7" borderId="33" xfId="0" applyFont="1" applyFill="1" applyBorder="1" applyAlignment="1">
      <alignment horizontal="center"/>
    </xf>
    <xf numFmtId="0" fontId="9" fillId="7" borderId="26" xfId="0" applyFont="1" applyFill="1" applyBorder="1" applyAlignment="1">
      <alignment horizontal="center"/>
    </xf>
    <xf numFmtId="0" fontId="1" fillId="7" borderId="50" xfId="0" applyFont="1" applyFill="1" applyBorder="1" applyAlignment="1">
      <alignment horizontal="center"/>
    </xf>
    <xf numFmtId="0" fontId="1" fillId="7" borderId="46" xfId="0" applyFont="1" applyFill="1" applyBorder="1" applyAlignment="1">
      <alignment horizontal="center"/>
    </xf>
    <xf numFmtId="0" fontId="1" fillId="7" borderId="59" xfId="0" applyFont="1" applyFill="1" applyBorder="1" applyAlignment="1">
      <alignment horizontal="center"/>
    </xf>
    <xf numFmtId="0" fontId="0" fillId="8" borderId="41" xfId="0" applyFill="1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1" fillId="7" borderId="22" xfId="0" applyFont="1" applyFill="1" applyBorder="1" applyAlignment="1">
      <alignment horizontal="left"/>
    </xf>
    <xf numFmtId="0" fontId="1" fillId="7" borderId="24" xfId="0" applyFont="1" applyFill="1" applyBorder="1" applyAlignment="1">
      <alignment horizontal="left"/>
    </xf>
    <xf numFmtId="0" fontId="0" fillId="6" borderId="17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1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" fillId="7" borderId="33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2" borderId="17" xfId="0" quotePrefix="1" applyFill="1" applyBorder="1" applyAlignment="1">
      <alignment horizontal="center" vertical="center"/>
    </xf>
    <xf numFmtId="0" fontId="7" fillId="8" borderId="10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0" fillId="8" borderId="27" xfId="0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44" xfId="0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4" borderId="6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7" borderId="6" xfId="0" applyFill="1" applyBorder="1" applyAlignment="1">
      <alignment horizontal="center"/>
    </xf>
    <xf numFmtId="0" fontId="0" fillId="11" borderId="40" xfId="0" applyFill="1" applyBorder="1" applyAlignment="1">
      <alignment horizontal="center"/>
    </xf>
    <xf numFmtId="0" fontId="0" fillId="11" borderId="41" xfId="0" applyFill="1" applyBorder="1" applyAlignment="1">
      <alignment horizontal="center"/>
    </xf>
    <xf numFmtId="0" fontId="0" fillId="11" borderId="38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22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11" borderId="17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1" fillId="7" borderId="65" xfId="0" applyFont="1" applyFill="1" applyBorder="1" applyAlignment="1">
      <alignment horizontal="center"/>
    </xf>
    <xf numFmtId="0" fontId="1" fillId="7" borderId="66" xfId="0" applyFont="1" applyFill="1" applyBorder="1" applyAlignment="1">
      <alignment horizontal="center"/>
    </xf>
    <xf numFmtId="0" fontId="1" fillId="7" borderId="67" xfId="0" applyFont="1" applyFill="1" applyBorder="1" applyAlignment="1">
      <alignment horizontal="center"/>
    </xf>
    <xf numFmtId="0" fontId="0" fillId="8" borderId="37" xfId="0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8" borderId="42" xfId="0" applyFill="1" applyBorder="1" applyAlignment="1">
      <alignment horizontal="center" wrapText="1"/>
    </xf>
    <xf numFmtId="0" fontId="0" fillId="8" borderId="28" xfId="0" applyFill="1" applyBorder="1" applyAlignment="1">
      <alignment horizontal="center" wrapText="1"/>
    </xf>
    <xf numFmtId="0" fontId="0" fillId="8" borderId="44" xfId="0" applyFill="1" applyBorder="1" applyAlignment="1">
      <alignment horizontal="center" wrapText="1"/>
    </xf>
    <xf numFmtId="0" fontId="0" fillId="8" borderId="16" xfId="0" applyFill="1" applyBorder="1" applyAlignment="1">
      <alignment horizontal="center" wrapText="1"/>
    </xf>
    <xf numFmtId="0" fontId="0" fillId="2" borderId="6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8" borderId="50" xfId="0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4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7" borderId="45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/>
    </xf>
    <xf numFmtId="0" fontId="16" fillId="11" borderId="35" xfId="0" applyFont="1" applyFill="1" applyBorder="1" applyAlignment="1">
      <alignment horizontal="center" wrapText="1"/>
    </xf>
    <xf numFmtId="0" fontId="16" fillId="11" borderId="40" xfId="0" applyFont="1" applyFill="1" applyBorder="1" applyAlignment="1">
      <alignment horizontal="center" wrapText="1"/>
    </xf>
    <xf numFmtId="0" fontId="16" fillId="11" borderId="41" xfId="0" applyFont="1" applyFill="1" applyBorder="1" applyAlignment="1">
      <alignment horizontal="center" wrapText="1"/>
    </xf>
    <xf numFmtId="0" fontId="16" fillId="11" borderId="42" xfId="0" applyFont="1" applyFill="1" applyBorder="1" applyAlignment="1">
      <alignment horizontal="center" wrapText="1"/>
    </xf>
    <xf numFmtId="0" fontId="16" fillId="11" borderId="31" xfId="0" applyFont="1" applyFill="1" applyBorder="1" applyAlignment="1">
      <alignment horizontal="center" wrapText="1"/>
    </xf>
    <xf numFmtId="0" fontId="16" fillId="11" borderId="38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8" borderId="23" xfId="0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 vertical="center" wrapText="1"/>
    </xf>
    <xf numFmtId="0" fontId="0" fillId="8" borderId="2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7" borderId="25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11" borderId="47" xfId="0" applyFill="1" applyBorder="1" applyAlignment="1">
      <alignment horizontal="center"/>
    </xf>
    <xf numFmtId="0" fontId="0" fillId="11" borderId="56" xfId="0" applyFill="1" applyBorder="1" applyAlignment="1">
      <alignment horizontal="center"/>
    </xf>
    <xf numFmtId="0" fontId="0" fillId="11" borderId="61" xfId="0" applyFill="1" applyBorder="1" applyAlignment="1">
      <alignment horizontal="center"/>
    </xf>
    <xf numFmtId="0" fontId="0" fillId="8" borderId="35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6" borderId="40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11" fontId="0" fillId="6" borderId="6" xfId="0" applyNumberFormat="1" applyFill="1" applyBorder="1" applyAlignment="1">
      <alignment horizontal="center" vertical="center"/>
    </xf>
    <xf numFmtId="11" fontId="0" fillId="6" borderId="11" xfId="0" applyNumberFormat="1" applyFill="1" applyBorder="1" applyAlignment="1">
      <alignment horizontal="center" vertical="center"/>
    </xf>
    <xf numFmtId="11" fontId="0" fillId="6" borderId="12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right" vertical="center"/>
    </xf>
    <xf numFmtId="0" fontId="0" fillId="6" borderId="3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164" fontId="0" fillId="4" borderId="6" xfId="0" applyNumberFormat="1" applyFill="1" applyBorder="1" applyAlignment="1">
      <alignment horizontal="center"/>
    </xf>
    <xf numFmtId="0" fontId="18" fillId="2" borderId="17" xfId="0" applyFont="1" applyFill="1" applyBorder="1" applyAlignment="1">
      <alignment horizontal="center"/>
    </xf>
    <xf numFmtId="0" fontId="18" fillId="2" borderId="18" xfId="0" applyFont="1" applyFill="1" applyBorder="1" applyAlignment="1">
      <alignment horizontal="center"/>
    </xf>
    <xf numFmtId="0" fontId="9" fillId="8" borderId="35" xfId="0" applyFont="1" applyFill="1" applyBorder="1" applyAlignment="1">
      <alignment horizontal="center" vertical="center"/>
    </xf>
    <xf numFmtId="0" fontId="9" fillId="8" borderId="40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8" borderId="38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16" fillId="8" borderId="6" xfId="0" applyFont="1" applyFill="1" applyBorder="1" applyAlignment="1">
      <alignment horizontal="center" vertical="center" wrapText="1"/>
    </xf>
    <xf numFmtId="0" fontId="0" fillId="7" borderId="23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24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wrapText="1"/>
    </xf>
    <xf numFmtId="0" fontId="0" fillId="8" borderId="1" xfId="0" applyFill="1" applyBorder="1" applyAlignment="1">
      <alignment horizontal="center" wrapText="1"/>
    </xf>
    <xf numFmtId="0" fontId="0" fillId="8" borderId="6" xfId="0" applyFill="1" applyBorder="1" applyAlignment="1">
      <alignment horizontal="center" wrapText="1"/>
    </xf>
    <xf numFmtId="0" fontId="0" fillId="8" borderId="39" xfId="0" applyFill="1" applyBorder="1" applyAlignment="1">
      <alignment horizontal="center" wrapText="1"/>
    </xf>
    <xf numFmtId="0" fontId="0" fillId="8" borderId="30" xfId="0" applyFill="1" applyBorder="1" applyAlignment="1">
      <alignment horizontal="center" wrapText="1"/>
    </xf>
    <xf numFmtId="0" fontId="0" fillId="8" borderId="51" xfId="0" applyFill="1" applyBorder="1" applyAlignment="1">
      <alignment horizontal="center" wrapText="1"/>
    </xf>
    <xf numFmtId="0" fontId="0" fillId="7" borderId="17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 vertical="center"/>
    </xf>
    <xf numFmtId="0" fontId="1" fillId="7" borderId="69" xfId="0" applyFont="1" applyFill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0" fontId="1" fillId="7" borderId="54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0" fillId="8" borderId="10" xfId="0" applyFont="1" applyFill="1" applyBorder="1" applyAlignment="1">
      <alignment horizontal="center"/>
    </xf>
    <xf numFmtId="0" fontId="0" fillId="8" borderId="11" xfId="0" applyFont="1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6" fillId="8" borderId="6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horizontal="center" vertical="center"/>
    </xf>
    <xf numFmtId="0" fontId="0" fillId="8" borderId="63" xfId="0" applyFill="1" applyBorder="1" applyAlignment="1">
      <alignment horizontal="center"/>
    </xf>
    <xf numFmtId="0" fontId="0" fillId="8" borderId="58" xfId="0" applyFill="1" applyBorder="1" applyAlignment="1">
      <alignment horizontal="center"/>
    </xf>
    <xf numFmtId="0" fontId="0" fillId="8" borderId="55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0" fontId="20" fillId="6" borderId="12" xfId="0" applyFont="1" applyFill="1" applyBorder="1" applyAlignment="1">
      <alignment horizontal="center"/>
    </xf>
    <xf numFmtId="0" fontId="0" fillId="7" borderId="37" xfId="0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6" fillId="6" borderId="11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0" fillId="8" borderId="61" xfId="0" applyFont="1" applyFill="1" applyBorder="1" applyAlignment="1">
      <alignment horizontal="center"/>
    </xf>
    <xf numFmtId="0" fontId="1" fillId="8" borderId="32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9" fillId="8" borderId="10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0" fillId="8" borderId="22" xfId="0" applyFill="1" applyBorder="1" applyAlignment="1">
      <alignment horizontal="center" wrapText="1"/>
    </xf>
    <xf numFmtId="0" fontId="0" fillId="8" borderId="24" xfId="0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 vertical="center"/>
    </xf>
    <xf numFmtId="165" fontId="0" fillId="6" borderId="49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horizontal="center"/>
    </xf>
    <xf numFmtId="0" fontId="1" fillId="7" borderId="61" xfId="0" applyFont="1" applyFill="1" applyBorder="1" applyAlignment="1">
      <alignment horizontal="center"/>
    </xf>
    <xf numFmtId="0" fontId="1" fillId="7" borderId="32" xfId="0" applyFont="1" applyFill="1" applyBorder="1" applyAlignment="1">
      <alignment horizontal="center"/>
    </xf>
    <xf numFmtId="0" fontId="1" fillId="7" borderId="38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0" fillId="6" borderId="32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46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left"/>
    </xf>
    <xf numFmtId="0" fontId="16" fillId="8" borderId="6" xfId="0" applyFont="1" applyFill="1" applyBorder="1" applyAlignment="1">
      <alignment horizontal="left"/>
    </xf>
    <xf numFmtId="0" fontId="1" fillId="7" borderId="25" xfId="0" applyFont="1" applyFill="1" applyBorder="1" applyAlignment="1">
      <alignment horizontal="center"/>
    </xf>
    <xf numFmtId="0" fontId="1" fillId="7" borderId="29" xfId="0" applyFont="1" applyFill="1" applyBorder="1" applyAlignment="1">
      <alignment horizontal="center"/>
    </xf>
    <xf numFmtId="0" fontId="1" fillId="7" borderId="36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1" fillId="8" borderId="25" xfId="0" applyFont="1" applyFill="1" applyBorder="1" applyAlignment="1">
      <alignment horizontal="center"/>
    </xf>
    <xf numFmtId="0" fontId="1" fillId="8" borderId="29" xfId="0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0" fontId="20" fillId="8" borderId="5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1" fillId="11" borderId="19" xfId="0" applyFont="1" applyFill="1" applyBorder="1" applyAlignment="1">
      <alignment horizontal="center"/>
    </xf>
    <xf numFmtId="0" fontId="1" fillId="11" borderId="20" xfId="0" applyFont="1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0" fontId="9" fillId="8" borderId="10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0" fillId="11" borderId="51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9" fillId="8" borderId="5" xfId="0" applyFont="1" applyFill="1" applyBorder="1" applyAlignment="1">
      <alignment horizontal="center" vertical="center"/>
    </xf>
    <xf numFmtId="0" fontId="0" fillId="11" borderId="43" xfId="0" applyFill="1" applyBorder="1" applyAlignment="1">
      <alignment horizontal="center"/>
    </xf>
    <xf numFmtId="0" fontId="0" fillId="8" borderId="45" xfId="0" applyFill="1" applyBorder="1" applyAlignment="1">
      <alignment horizontal="center" vertical="center" wrapText="1"/>
    </xf>
    <xf numFmtId="0" fontId="0" fillId="8" borderId="54" xfId="0" applyFill="1" applyBorder="1" applyAlignment="1">
      <alignment horizontal="center" vertical="center" wrapText="1"/>
    </xf>
    <xf numFmtId="0" fontId="16" fillId="4" borderId="35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vertical="center" wrapText="1"/>
    </xf>
    <xf numFmtId="0" fontId="11" fillId="7" borderId="29" xfId="0" applyFont="1" applyFill="1" applyBorder="1" applyAlignment="1">
      <alignment horizontal="center"/>
    </xf>
    <xf numFmtId="0" fontId="11" fillId="7" borderId="36" xfId="0" applyFont="1" applyFill="1" applyBorder="1" applyAlignment="1">
      <alignment horizontal="center"/>
    </xf>
    <xf numFmtId="0" fontId="9" fillId="8" borderId="47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8" borderId="45" xfId="0" applyFont="1" applyFill="1" applyBorder="1" applyAlignment="1">
      <alignment horizontal="center" vertical="center"/>
    </xf>
    <xf numFmtId="0" fontId="9" fillId="8" borderId="61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9" fillId="8" borderId="54" xfId="0" applyFont="1" applyFill="1" applyBorder="1" applyAlignment="1">
      <alignment horizontal="center" vertical="center"/>
    </xf>
    <xf numFmtId="0" fontId="0" fillId="8" borderId="25" xfId="0" applyFont="1" applyFill="1" applyBorder="1" applyAlignment="1">
      <alignment horizontal="center"/>
    </xf>
    <xf numFmtId="0" fontId="9" fillId="8" borderId="29" xfId="0" applyFont="1" applyFill="1" applyBorder="1" applyAlignment="1">
      <alignment horizontal="center"/>
    </xf>
    <xf numFmtId="0" fontId="9" fillId="8" borderId="36" xfId="0" applyFont="1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11" borderId="25" xfId="0" applyFill="1" applyBorder="1" applyAlignment="1">
      <alignment horizontal="center"/>
    </xf>
    <xf numFmtId="0" fontId="0" fillId="11" borderId="29" xfId="0" applyFill="1" applyBorder="1" applyAlignment="1">
      <alignment horizontal="center"/>
    </xf>
    <xf numFmtId="0" fontId="0" fillId="11" borderId="18" xfId="0" applyFill="1" applyBorder="1" applyAlignment="1">
      <alignment horizontal="center"/>
    </xf>
    <xf numFmtId="0" fontId="0" fillId="8" borderId="29" xfId="0" applyFont="1" applyFill="1" applyBorder="1" applyAlignment="1">
      <alignment horizontal="center"/>
    </xf>
    <xf numFmtId="0" fontId="0" fillId="8" borderId="18" xfId="0" applyFont="1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11" borderId="40" xfId="0" applyFont="1" applyFill="1" applyBorder="1" applyAlignment="1">
      <alignment horizontal="center" vertical="center" wrapText="1"/>
    </xf>
    <xf numFmtId="0" fontId="0" fillId="11" borderId="42" xfId="0" applyFont="1" applyFill="1" applyBorder="1" applyAlignment="1">
      <alignment horizontal="center" vertical="center" wrapText="1"/>
    </xf>
    <xf numFmtId="0" fontId="0" fillId="11" borderId="38" xfId="0" applyFont="1" applyFill="1" applyBorder="1" applyAlignment="1">
      <alignment horizontal="center" vertical="center" wrapText="1"/>
    </xf>
    <xf numFmtId="0" fontId="0" fillId="11" borderId="51" xfId="0" applyFont="1" applyFill="1" applyBorder="1" applyAlignment="1">
      <alignment horizontal="center" vertical="center" wrapText="1"/>
    </xf>
    <xf numFmtId="0" fontId="0" fillId="11" borderId="24" xfId="0" applyFont="1" applyFill="1" applyBorder="1" applyAlignment="1">
      <alignment horizontal="center" vertical="center" wrapText="1"/>
    </xf>
    <xf numFmtId="0" fontId="0" fillId="11" borderId="35" xfId="0" applyFont="1" applyFill="1" applyBorder="1" applyAlignment="1">
      <alignment horizontal="center" vertical="center" wrapText="1"/>
    </xf>
    <xf numFmtId="0" fontId="0" fillId="11" borderId="34" xfId="0" applyFont="1" applyFill="1" applyBorder="1" applyAlignment="1">
      <alignment horizontal="center" vertical="center" wrapText="1"/>
    </xf>
    <xf numFmtId="0" fontId="0" fillId="11" borderId="41" xfId="0" applyFont="1" applyFill="1" applyBorder="1" applyAlignment="1">
      <alignment horizontal="center" vertical="center" wrapText="1"/>
    </xf>
    <xf numFmtId="0" fontId="0" fillId="11" borderId="0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11" borderId="32" xfId="0" applyFont="1" applyFill="1" applyBorder="1" applyAlignment="1">
      <alignment horizontal="center" vertical="center" wrapText="1"/>
    </xf>
    <xf numFmtId="0" fontId="31" fillId="7" borderId="7" xfId="0" applyFont="1" applyFill="1" applyBorder="1" applyAlignment="1">
      <alignment horizontal="center" vertical="center"/>
    </xf>
    <xf numFmtId="0" fontId="31" fillId="7" borderId="8" xfId="0" applyFont="1" applyFill="1" applyBorder="1" applyAlignment="1">
      <alignment horizontal="center" vertical="center"/>
    </xf>
    <xf numFmtId="0" fontId="31" fillId="7" borderId="9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/>
    </xf>
    <xf numFmtId="0" fontId="0" fillId="8" borderId="6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0" fillId="8" borderId="62" xfId="0" applyFill="1" applyBorder="1" applyAlignment="1">
      <alignment horizontal="center"/>
    </xf>
    <xf numFmtId="0" fontId="0" fillId="8" borderId="57" xfId="0" applyFill="1" applyBorder="1" applyAlignment="1">
      <alignment horizontal="center"/>
    </xf>
    <xf numFmtId="0" fontId="0" fillId="8" borderId="60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6" fillId="8" borderId="1" xfId="0" applyFont="1" applyFill="1" applyBorder="1" applyAlignment="1">
      <alignment vertical="center"/>
    </xf>
    <xf numFmtId="0" fontId="6" fillId="8" borderId="6" xfId="0" applyFont="1" applyFill="1" applyBorder="1" applyAlignment="1">
      <alignment vertical="center"/>
    </xf>
    <xf numFmtId="0" fontId="32" fillId="8" borderId="1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1" fillId="7" borderId="53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0" fillId="8" borderId="28" xfId="0" applyFont="1" applyFill="1" applyBorder="1" applyAlignment="1">
      <alignment horizontal="center" vertical="center"/>
    </xf>
    <xf numFmtId="0" fontId="0" fillId="8" borderId="44" xfId="0" applyFont="1" applyFill="1" applyBorder="1" applyAlignment="1">
      <alignment horizontal="center" vertical="center"/>
    </xf>
    <xf numFmtId="0" fontId="0" fillId="8" borderId="16" xfId="0" applyFont="1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1" xfId="0" applyNumberFormat="1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 vertical="center"/>
    </xf>
    <xf numFmtId="0" fontId="0" fillId="2" borderId="38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horizontal="center" vertical="center"/>
    </xf>
    <xf numFmtId="0" fontId="9" fillId="8" borderId="25" xfId="0" applyFont="1" applyFill="1" applyBorder="1" applyAlignment="1">
      <alignment horizontal="center" vertical="center" wrapText="1"/>
    </xf>
    <xf numFmtId="0" fontId="9" fillId="8" borderId="29" xfId="0" applyFont="1" applyFill="1" applyBorder="1" applyAlignment="1">
      <alignment horizontal="center" vertical="center" wrapText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/>
    </xf>
    <xf numFmtId="0" fontId="9" fillId="8" borderId="18" xfId="0" applyFont="1" applyFill="1" applyBorder="1" applyAlignment="1">
      <alignment horizontal="center"/>
    </xf>
    <xf numFmtId="12" fontId="0" fillId="4" borderId="30" xfId="0" applyNumberFormat="1" applyFill="1" applyBorder="1" applyAlignment="1">
      <alignment horizontal="center" vertical="center"/>
    </xf>
    <xf numFmtId="12" fontId="0" fillId="4" borderId="22" xfId="0" applyNumberFormat="1" applyFill="1" applyBorder="1" applyAlignment="1">
      <alignment horizontal="center" vertical="center"/>
    </xf>
    <xf numFmtId="12" fontId="0" fillId="4" borderId="51" xfId="0" applyNumberFormat="1" applyFill="1" applyBorder="1" applyAlignment="1">
      <alignment horizontal="center" vertical="center"/>
    </xf>
    <xf numFmtId="12" fontId="0" fillId="4" borderId="24" xfId="0" applyNumberFormat="1" applyFill="1" applyBorder="1" applyAlignment="1">
      <alignment horizontal="center" vertical="center"/>
    </xf>
    <xf numFmtId="0" fontId="6" fillId="8" borderId="47" xfId="0" applyFont="1" applyFill="1" applyBorder="1" applyAlignment="1">
      <alignment horizontal="center" vertical="center"/>
    </xf>
    <xf numFmtId="0" fontId="6" fillId="8" borderId="3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61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0" fontId="6" fillId="8" borderId="54" xfId="0" applyFont="1" applyFill="1" applyBorder="1" applyAlignment="1">
      <alignment horizontal="center" vertical="center"/>
    </xf>
    <xf numFmtId="0" fontId="16" fillId="4" borderId="30" xfId="0" applyFont="1" applyFill="1" applyBorder="1" applyAlignment="1">
      <alignment horizontal="center" vertical="center" wrapText="1"/>
    </xf>
    <xf numFmtId="0" fontId="16" fillId="4" borderId="22" xfId="0" applyFont="1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49" xfId="0" applyFill="1" applyBorder="1" applyAlignment="1">
      <alignment horizontal="center" vertical="center" wrapText="1"/>
    </xf>
    <xf numFmtId="11" fontId="0" fillId="6" borderId="14" xfId="0" applyNumberFormat="1" applyFill="1" applyBorder="1" applyAlignment="1">
      <alignment horizontal="center" vertical="center" wrapText="1"/>
    </xf>
    <xf numFmtId="11" fontId="0" fillId="6" borderId="59" xfId="0" applyNumberFormat="1" applyFill="1" applyBorder="1" applyAlignment="1">
      <alignment horizontal="center" vertical="center" wrapText="1"/>
    </xf>
    <xf numFmtId="0" fontId="0" fillId="8" borderId="20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16" fillId="4" borderId="51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42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0" fillId="4" borderId="1" xfId="0" applyFont="1" applyFill="1" applyBorder="1" applyAlignment="1">
      <alignment horizontal="center" vertical="center"/>
    </xf>
    <xf numFmtId="11" fontId="0" fillId="4" borderId="1" xfId="0" applyNumberFormat="1" applyFill="1" applyBorder="1" applyAlignment="1">
      <alignment horizontal="center" vertical="center"/>
    </xf>
    <xf numFmtId="11" fontId="0" fillId="4" borderId="6" xfId="0" applyNumberForma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11" fontId="0" fillId="2" borderId="1" xfId="0" applyNumberFormat="1" applyFill="1" applyBorder="1" applyAlignment="1">
      <alignment horizontal="center" vertical="center"/>
    </xf>
    <xf numFmtId="0" fontId="6" fillId="8" borderId="63" xfId="0" applyFont="1" applyFill="1" applyBorder="1" applyAlignment="1">
      <alignment horizontal="center"/>
    </xf>
    <xf numFmtId="0" fontId="6" fillId="8" borderId="58" xfId="0" applyFont="1" applyFill="1" applyBorder="1" applyAlignment="1">
      <alignment horizontal="center"/>
    </xf>
    <xf numFmtId="0" fontId="6" fillId="8" borderId="55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0" fillId="7" borderId="6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/>
    </xf>
    <xf numFmtId="11" fontId="0" fillId="4" borderId="1" xfId="0" applyNumberFormat="1" applyFill="1" applyBorder="1" applyAlignment="1">
      <alignment horizontal="center"/>
    </xf>
    <xf numFmtId="11" fontId="0" fillId="4" borderId="6" xfId="0" applyNumberFormat="1" applyFill="1" applyBorder="1" applyAlignment="1">
      <alignment horizontal="center"/>
    </xf>
    <xf numFmtId="0" fontId="9" fillId="8" borderId="39" xfId="0" applyFont="1" applyFill="1" applyBorder="1" applyAlignment="1">
      <alignment horizontal="center"/>
    </xf>
    <xf numFmtId="0" fontId="9" fillId="8" borderId="30" xfId="0" applyFont="1" applyFill="1" applyBorder="1" applyAlignment="1">
      <alignment horizontal="center"/>
    </xf>
    <xf numFmtId="0" fontId="9" fillId="8" borderId="51" xfId="0" applyFont="1" applyFill="1" applyBorder="1" applyAlignment="1">
      <alignment horizontal="center"/>
    </xf>
    <xf numFmtId="0" fontId="0" fillId="6" borderId="30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11" fontId="0" fillId="6" borderId="51" xfId="0" applyNumberFormat="1" applyFill="1" applyBorder="1" applyAlignment="1">
      <alignment horizontal="center" vertical="center"/>
    </xf>
    <xf numFmtId="11" fontId="0" fillId="6" borderId="55" xfId="0" applyNumberForma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8" borderId="50" xfId="0" applyFont="1" applyFill="1" applyBorder="1" applyAlignment="1">
      <alignment horizontal="center" vertical="center"/>
    </xf>
    <xf numFmtId="0" fontId="18" fillId="8" borderId="49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11" fontId="0" fillId="11" borderId="29" xfId="0" applyNumberFormat="1" applyFill="1" applyBorder="1" applyAlignment="1">
      <alignment horizontal="center" vertical="center"/>
    </xf>
    <xf numFmtId="11" fontId="0" fillId="11" borderId="36" xfId="0" applyNumberFormat="1" applyFill="1" applyBorder="1" applyAlignment="1">
      <alignment horizontal="center" vertical="center"/>
    </xf>
    <xf numFmtId="2" fontId="0" fillId="6" borderId="17" xfId="0" applyNumberFormat="1" applyFill="1" applyBorder="1" applyAlignment="1">
      <alignment horizontal="center"/>
    </xf>
    <xf numFmtId="2" fontId="0" fillId="6" borderId="36" xfId="0" applyNumberFormat="1" applyFill="1" applyBorder="1" applyAlignment="1">
      <alignment horizontal="center"/>
    </xf>
    <xf numFmtId="0" fontId="0" fillId="8" borderId="23" xfId="0" applyFont="1" applyFill="1" applyBorder="1" applyAlignment="1">
      <alignment horizontal="center"/>
    </xf>
    <xf numFmtId="0" fontId="1" fillId="8" borderId="22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/>
    </xf>
    <xf numFmtId="0" fontId="18" fillId="8" borderId="17" xfId="0" applyFont="1" applyFill="1" applyBorder="1" applyAlignment="1">
      <alignment horizontal="center" vertical="center"/>
    </xf>
    <xf numFmtId="0" fontId="18" fillId="8" borderId="14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/>
    </xf>
    <xf numFmtId="0" fontId="11" fillId="7" borderId="20" xfId="0" applyFont="1" applyFill="1" applyBorder="1" applyAlignment="1">
      <alignment horizontal="center"/>
    </xf>
    <xf numFmtId="0" fontId="11" fillId="7" borderId="21" xfId="0" applyFont="1" applyFill="1" applyBorder="1" applyAlignment="1">
      <alignment horizontal="center"/>
    </xf>
    <xf numFmtId="0" fontId="19" fillId="8" borderId="61" xfId="0" applyFont="1" applyFill="1" applyBorder="1" applyAlignment="1">
      <alignment horizontal="center" vertical="center"/>
    </xf>
    <xf numFmtId="0" fontId="19" fillId="8" borderId="54" xfId="0" applyFont="1" applyFill="1" applyBorder="1" applyAlignment="1">
      <alignment horizontal="center" vertical="center"/>
    </xf>
    <xf numFmtId="0" fontId="48" fillId="8" borderId="25" xfId="0" applyFont="1" applyFill="1" applyBorder="1" applyAlignment="1">
      <alignment horizontal="center" vertical="center"/>
    </xf>
    <xf numFmtId="0" fontId="48" fillId="8" borderId="18" xfId="0" applyFont="1" applyFill="1" applyBorder="1" applyAlignment="1">
      <alignment horizontal="center" vertical="center"/>
    </xf>
    <xf numFmtId="0" fontId="19" fillId="8" borderId="31" xfId="0" applyFont="1" applyFill="1" applyBorder="1" applyAlignment="1">
      <alignment horizontal="center" vertical="center"/>
    </xf>
    <xf numFmtId="0" fontId="44" fillId="7" borderId="23" xfId="0" applyFont="1" applyFill="1" applyBorder="1" applyAlignment="1">
      <alignment horizontal="center" vertical="center" wrapText="1"/>
    </xf>
    <xf numFmtId="0" fontId="44" fillId="7" borderId="22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9" fillId="8" borderId="10" xfId="0" applyFont="1" applyFill="1" applyBorder="1" applyAlignment="1">
      <alignment horizontal="center"/>
    </xf>
    <xf numFmtId="0" fontId="39" fillId="8" borderId="11" xfId="0" applyFont="1" applyFill="1" applyBorder="1" applyAlignment="1">
      <alignment horizontal="center"/>
    </xf>
    <xf numFmtId="0" fontId="39" fillId="8" borderId="12" xfId="0" applyFont="1" applyFill="1" applyBorder="1" applyAlignment="1">
      <alignment horizontal="center"/>
    </xf>
    <xf numFmtId="0" fontId="39" fillId="8" borderId="5" xfId="0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 wrapText="1"/>
    </xf>
    <xf numFmtId="0" fontId="39" fillId="8" borderId="5" xfId="0" applyFont="1" applyFill="1" applyBorder="1" applyAlignment="1">
      <alignment horizontal="center"/>
    </xf>
    <xf numFmtId="0" fontId="39" fillId="8" borderId="1" xfId="0" applyFont="1" applyFill="1" applyBorder="1" applyAlignment="1">
      <alignment horizontal="center"/>
    </xf>
    <xf numFmtId="0" fontId="39" fillId="8" borderId="6" xfId="0" applyFont="1" applyFill="1" applyBorder="1" applyAlignment="1">
      <alignment horizontal="center"/>
    </xf>
    <xf numFmtId="0" fontId="38" fillId="8" borderId="5" xfId="0" applyFont="1" applyFill="1" applyBorder="1" applyAlignment="1">
      <alignment horizontal="center" vertical="center" wrapText="1"/>
    </xf>
    <xf numFmtId="0" fontId="38" fillId="8" borderId="1" xfId="0" applyFont="1" applyFill="1" applyBorder="1" applyAlignment="1">
      <alignment horizontal="center" vertical="center" wrapText="1"/>
    </xf>
    <xf numFmtId="0" fontId="38" fillId="8" borderId="6" xfId="0" applyFont="1" applyFill="1" applyBorder="1" applyAlignment="1">
      <alignment horizontal="center" vertical="center" wrapText="1"/>
    </xf>
    <xf numFmtId="0" fontId="38" fillId="8" borderId="10" xfId="0" applyFont="1" applyFill="1" applyBorder="1" applyAlignment="1">
      <alignment horizontal="center" vertical="center" wrapText="1"/>
    </xf>
    <xf numFmtId="0" fontId="38" fillId="8" borderId="11" xfId="0" applyFont="1" applyFill="1" applyBorder="1" applyAlignment="1">
      <alignment horizontal="center" vertical="center" wrapText="1"/>
    </xf>
    <xf numFmtId="0" fontId="38" fillId="8" borderId="12" xfId="0" applyFont="1" applyFill="1" applyBorder="1" applyAlignment="1">
      <alignment horizontal="center" vertical="center" wrapText="1"/>
    </xf>
    <xf numFmtId="0" fontId="39" fillId="8" borderId="23" xfId="0" applyFont="1" applyFill="1" applyBorder="1" applyAlignment="1">
      <alignment horizontal="center" vertical="center"/>
    </xf>
    <xf numFmtId="0" fontId="39" fillId="8" borderId="22" xfId="0" applyFont="1" applyFill="1" applyBorder="1" applyAlignment="1">
      <alignment horizontal="center" vertical="center"/>
    </xf>
    <xf numFmtId="0" fontId="39" fillId="8" borderId="24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19" fillId="7" borderId="9" xfId="0" applyFont="1" applyFill="1" applyBorder="1" applyAlignment="1">
      <alignment horizontal="center" vertical="center" wrapText="1"/>
    </xf>
    <xf numFmtId="0" fontId="0" fillId="8" borderId="36" xfId="0" applyFont="1" applyFill="1" applyBorder="1" applyAlignment="1">
      <alignment horizontal="center"/>
    </xf>
    <xf numFmtId="0" fontId="18" fillId="8" borderId="27" xfId="0" applyFont="1" applyFill="1" applyBorder="1" applyAlignment="1">
      <alignment horizontal="center" vertical="center" wrapText="1"/>
    </xf>
    <xf numFmtId="0" fontId="18" fillId="8" borderId="53" xfId="0" applyFont="1" applyFill="1" applyBorder="1" applyAlignment="1">
      <alignment horizontal="center" vertical="center" wrapText="1"/>
    </xf>
    <xf numFmtId="0" fontId="18" fillId="8" borderId="15" xfId="0" applyFont="1" applyFill="1" applyBorder="1" applyAlignment="1">
      <alignment horizontal="center" vertical="center" wrapText="1"/>
    </xf>
    <xf numFmtId="0" fontId="18" fillId="8" borderId="37" xfId="0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horizontal="center" vertical="center" wrapText="1"/>
    </xf>
    <xf numFmtId="0" fontId="18" fillId="8" borderId="42" xfId="0" applyFont="1" applyFill="1" applyBorder="1" applyAlignment="1">
      <alignment horizontal="center" vertical="center" wrapText="1"/>
    </xf>
    <xf numFmtId="0" fontId="18" fillId="8" borderId="28" xfId="0" applyFont="1" applyFill="1" applyBorder="1" applyAlignment="1">
      <alignment horizontal="center" vertical="center" wrapText="1"/>
    </xf>
    <xf numFmtId="0" fontId="18" fillId="8" borderId="44" xfId="0" applyFont="1" applyFill="1" applyBorder="1" applyAlignment="1">
      <alignment horizontal="center" vertical="center" wrapText="1"/>
    </xf>
    <xf numFmtId="0" fontId="18" fillId="8" borderId="16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6" borderId="12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0" fontId="11" fillId="7" borderId="53" xfId="0" applyFont="1" applyFill="1" applyBorder="1" applyAlignment="1">
      <alignment horizontal="center"/>
    </xf>
    <xf numFmtId="0" fontId="11" fillId="7" borderId="15" xfId="0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8" borderId="25" xfId="0" applyFont="1" applyFill="1" applyBorder="1" applyAlignment="1">
      <alignment horizontal="center" vertical="center"/>
    </xf>
    <xf numFmtId="0" fontId="1" fillId="8" borderId="29" xfId="0" applyFont="1" applyFill="1" applyBorder="1" applyAlignment="1">
      <alignment horizontal="center" vertical="center"/>
    </xf>
    <xf numFmtId="0" fontId="1" fillId="8" borderId="18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/>
    </xf>
    <xf numFmtId="0" fontId="0" fillId="8" borderId="29" xfId="0" applyFont="1" applyFill="1" applyBorder="1" applyAlignment="1">
      <alignment horizontal="center" vertical="center"/>
    </xf>
    <xf numFmtId="0" fontId="0" fillId="8" borderId="18" xfId="0" applyFont="1" applyFill="1" applyBorder="1" applyAlignment="1">
      <alignment horizontal="center" vertical="center"/>
    </xf>
    <xf numFmtId="0" fontId="0" fillId="8" borderId="63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0" fontId="9" fillId="15" borderId="5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1" fillId="8" borderId="23" xfId="0" applyFont="1" applyFill="1" applyBorder="1" applyAlignment="1">
      <alignment horizontal="center" vertical="center"/>
    </xf>
    <xf numFmtId="0" fontId="1" fillId="8" borderId="22" xfId="0" applyFont="1" applyFill="1" applyBorder="1" applyAlignment="1">
      <alignment horizontal="center" vertical="center"/>
    </xf>
    <xf numFmtId="0" fontId="1" fillId="8" borderId="24" xfId="0" applyFont="1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11" fontId="0" fillId="6" borderId="30" xfId="0" applyNumberFormat="1" applyFill="1" applyBorder="1" applyAlignment="1">
      <alignment horizontal="center"/>
    </xf>
    <xf numFmtId="0" fontId="1" fillId="7" borderId="65" xfId="0" applyFont="1" applyFill="1" applyBorder="1" applyAlignment="1">
      <alignment horizontal="center" vertical="center"/>
    </xf>
    <xf numFmtId="0" fontId="1" fillId="7" borderId="66" xfId="0" applyFont="1" applyFill="1" applyBorder="1" applyAlignment="1">
      <alignment horizontal="center" vertical="center"/>
    </xf>
    <xf numFmtId="0" fontId="1" fillId="7" borderId="6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/>
    </xf>
    <xf numFmtId="0" fontId="54" fillId="8" borderId="11" xfId="0" applyFont="1" applyFill="1" applyBorder="1" applyAlignment="1">
      <alignment horizontal="center"/>
    </xf>
    <xf numFmtId="0" fontId="51" fillId="8" borderId="5" xfId="0" applyFont="1" applyFill="1" applyBorder="1" applyAlignment="1">
      <alignment horizontal="center" vertical="center"/>
    </xf>
    <xf numFmtId="0" fontId="55" fillId="8" borderId="5" xfId="0" applyFont="1" applyFill="1" applyBorder="1" applyAlignment="1">
      <alignment horizontal="center" vertical="center"/>
    </xf>
    <xf numFmtId="0" fontId="53" fillId="8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8" fillId="7" borderId="6" xfId="0" applyFont="1" applyFill="1" applyBorder="1" applyAlignment="1">
      <alignment horizontal="center"/>
    </xf>
    <xf numFmtId="0" fontId="1" fillId="7" borderId="54" xfId="0" applyFont="1" applyFill="1" applyBorder="1" applyAlignment="1">
      <alignment horizontal="center"/>
    </xf>
    <xf numFmtId="0" fontId="0" fillId="4" borderId="6" xfId="0" applyNumberFormat="1" applyFill="1" applyBorder="1" applyAlignment="1">
      <alignment horizontal="center" vertical="center"/>
    </xf>
    <xf numFmtId="0" fontId="0" fillId="2" borderId="49" xfId="0" applyFill="1" applyBorder="1" applyAlignment="1">
      <alignment horizontal="center"/>
    </xf>
    <xf numFmtId="11" fontId="0" fillId="6" borderId="1" xfId="2" applyNumberFormat="1" applyFont="1" applyFill="1" applyBorder="1" applyAlignment="1">
      <alignment horizontal="center" vertical="center"/>
    </xf>
    <xf numFmtId="11" fontId="0" fillId="6" borderId="6" xfId="2" applyNumberFormat="1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5050"/>
      <color rgb="FFFFFF00"/>
      <color rgb="FFF2FB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'Chemical Kinetics'!$N$32</c:f>
              <c:strCache>
                <c:ptCount val="1"/>
                <c:pt idx="0">
                  <c:v>1/T (in K)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'Chemical Kinetics'!$M$33:$M$35</c:f>
              <c:numCache>
                <c:formatCode>General</c:formatCode>
                <c:ptCount val="3"/>
                <c:pt idx="0">
                  <c:v>16.11809565095832</c:v>
                </c:pt>
                <c:pt idx="1">
                  <c:v>17.7473361906886</c:v>
                </c:pt>
                <c:pt idx="2">
                  <c:v>18.515990923756689</c:v>
                </c:pt>
              </c:numCache>
            </c:numRef>
          </c:xVal>
          <c:yVal>
            <c:numRef>
              <c:f>'Chemical Kinetics'!$N$33:$N$35</c:f>
              <c:numCache>
                <c:formatCode>General</c:formatCode>
                <c:ptCount val="3"/>
                <c:pt idx="0">
                  <c:v>4.5454545454545452E-3</c:v>
                </c:pt>
                <c:pt idx="1">
                  <c:v>2.9411764705882353E-3</c:v>
                </c:pt>
                <c:pt idx="2">
                  <c:v>2.2222222222222222E-3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08-41C0-BD16-4414251C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847919"/>
        <c:axId val="1388848751"/>
      </c:scatterChart>
      <c:valAx>
        <c:axId val="138884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ln </a:t>
                </a:r>
                <a:r>
                  <a:rPr lang="en-US" i="1"/>
                  <a:t>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8848751"/>
        <c:crosses val="autoZero"/>
        <c:crossBetween val="midCat"/>
      </c:valAx>
      <c:valAx>
        <c:axId val="138884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1/T 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8847919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9.png"/><Relationship Id="rId3" Type="http://schemas.openxmlformats.org/officeDocument/2006/relationships/image" Target="../media/image49.jpeg"/><Relationship Id="rId7" Type="http://schemas.openxmlformats.org/officeDocument/2006/relationships/image" Target="../media/image53.png"/><Relationship Id="rId12" Type="http://schemas.openxmlformats.org/officeDocument/2006/relationships/image" Target="../media/image58.png"/><Relationship Id="rId2" Type="http://schemas.openxmlformats.org/officeDocument/2006/relationships/image" Target="../media/image48.jpe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jpeg"/><Relationship Id="rId9" Type="http://schemas.openxmlformats.org/officeDocument/2006/relationships/image" Target="../media/image55.png"/><Relationship Id="rId14" Type="http://schemas.openxmlformats.org/officeDocument/2006/relationships/image" Target="../media/image6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chart" Target="../charts/chart1.xml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3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2.png"/><Relationship Id="rId2" Type="http://schemas.openxmlformats.org/officeDocument/2006/relationships/image" Target="../media/image28.png"/><Relationship Id="rId16" Type="http://schemas.openxmlformats.org/officeDocument/2006/relationships/image" Target="../media/image2.jpe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10" Type="http://schemas.openxmlformats.org/officeDocument/2006/relationships/image" Target="../media/image36.png"/><Relationship Id="rId19" Type="http://schemas.openxmlformats.org/officeDocument/2006/relationships/image" Target="../media/image44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28574</xdr:colOff>
      <xdr:row>37</xdr:row>
      <xdr:rowOff>47625</xdr:rowOff>
    </xdr:from>
    <xdr:to>
      <xdr:col>34</xdr:col>
      <xdr:colOff>588235</xdr:colOff>
      <xdr:row>71</xdr:row>
      <xdr:rowOff>20108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7F266-95AF-4358-97C6-AD655420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4" y="2676525"/>
          <a:ext cx="8732111" cy="6735233"/>
        </a:xfrm>
        <a:prstGeom prst="rect">
          <a:avLst/>
        </a:prstGeom>
      </xdr:spPr>
    </xdr:pic>
    <xdr:clientData/>
  </xdr:twoCellAnchor>
  <xdr:twoCellAnchor>
    <xdr:from>
      <xdr:col>21</xdr:col>
      <xdr:colOff>466725</xdr:colOff>
      <xdr:row>38</xdr:row>
      <xdr:rowOff>152400</xdr:rowOff>
    </xdr:from>
    <xdr:to>
      <xdr:col>33</xdr:col>
      <xdr:colOff>571500</xdr:colOff>
      <xdr:row>38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46DFFF5-F39E-47BA-9CA8-F400CADCF3F0}"/>
            </a:ext>
          </a:extLst>
        </xdr:cNvPr>
        <xdr:cNvCxnSpPr/>
      </xdr:nvCxnSpPr>
      <xdr:spPr>
        <a:xfrm>
          <a:off x="4733925" y="2981325"/>
          <a:ext cx="74199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504825</xdr:colOff>
      <xdr:row>39</xdr:row>
      <xdr:rowOff>190500</xdr:rowOff>
    </xdr:from>
    <xdr:to>
      <xdr:col>34</xdr:col>
      <xdr:colOff>504825</xdr:colOff>
      <xdr:row>62</xdr:row>
      <xdr:rowOff>47625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94EF4AD0-4390-4429-81D7-668FF77412E6}"/>
            </a:ext>
          </a:extLst>
        </xdr:cNvPr>
        <xdr:cNvCxnSpPr/>
      </xdr:nvCxnSpPr>
      <xdr:spPr>
        <a:xfrm>
          <a:off x="12696825" y="3209925"/>
          <a:ext cx="0" cy="424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133350</xdr:colOff>
      <xdr:row>37</xdr:row>
      <xdr:rowOff>57150</xdr:rowOff>
    </xdr:from>
    <xdr:to>
      <xdr:col>31</xdr:col>
      <xdr:colOff>19050</xdr:colOff>
      <xdr:row>38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7C7D1C4-86D3-46B5-A7DD-E27B8D45C543}"/>
            </a:ext>
          </a:extLst>
        </xdr:cNvPr>
        <xdr:cNvSpPr txBox="1"/>
      </xdr:nvSpPr>
      <xdr:spPr>
        <a:xfrm>
          <a:off x="6229350" y="2686050"/>
          <a:ext cx="41529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Increasing</a:t>
          </a:r>
          <a:r>
            <a:rPr lang="en-US" sz="1100" baseline="0"/>
            <a:t> Electronegativity</a:t>
          </a:r>
          <a:endParaRPr lang="en-US" sz="1100"/>
        </a:p>
      </xdr:txBody>
    </xdr:sp>
    <xdr:clientData/>
  </xdr:twoCellAnchor>
  <xdr:twoCellAnchor>
    <xdr:from>
      <xdr:col>34</xdr:col>
      <xdr:colOff>581024</xdr:colOff>
      <xdr:row>40</xdr:row>
      <xdr:rowOff>0</xdr:rowOff>
    </xdr:from>
    <xdr:to>
      <xdr:col>35</xdr:col>
      <xdr:colOff>219074</xdr:colOff>
      <xdr:row>61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200995C-3B38-4154-A977-8B19AE11E72D}"/>
            </a:ext>
          </a:extLst>
        </xdr:cNvPr>
        <xdr:cNvSpPr txBox="1"/>
      </xdr:nvSpPr>
      <xdr:spPr>
        <a:xfrm rot="5400000">
          <a:off x="10820399" y="5172075"/>
          <a:ext cx="41529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Decreasing</a:t>
          </a:r>
          <a:r>
            <a:rPr lang="en-US" sz="1100" baseline="0"/>
            <a:t> Electronegativity</a:t>
          </a:r>
          <a:endParaRPr lang="en-US" sz="1100"/>
        </a:p>
      </xdr:txBody>
    </xdr:sp>
    <xdr:clientData/>
  </xdr:twoCellAnchor>
  <xdr:twoCellAnchor editAs="oneCell">
    <xdr:from>
      <xdr:col>21</xdr:col>
      <xdr:colOff>17800</xdr:colOff>
      <xdr:row>73</xdr:row>
      <xdr:rowOff>28576</xdr:rowOff>
    </xdr:from>
    <xdr:to>
      <xdr:col>22</xdr:col>
      <xdr:colOff>71472</xdr:colOff>
      <xdr:row>75</xdr:row>
      <xdr:rowOff>200025</xdr:rowOff>
    </xdr:to>
    <xdr:pic>
      <xdr:nvPicPr>
        <xdr:cNvPr id="8" name="Picture 7" descr="Pin by Bond with James on TPT Products | Chemistry classroom, Chemistry  humor, Chemistry jokes">
          <a:extLst>
            <a:ext uri="{FF2B5EF4-FFF2-40B4-BE49-F238E27FC236}">
              <a16:creationId xmlns:a16="http://schemas.microsoft.com/office/drawing/2014/main" id="{37DFA14B-9E4E-43C5-B7B5-D4CBC0704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3" t="1434" r="12010" b="33094"/>
        <a:stretch/>
      </xdr:blipFill>
      <xdr:spPr bwMode="auto">
        <a:xfrm>
          <a:off x="11600200" y="428626"/>
          <a:ext cx="663272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17800</xdr:colOff>
      <xdr:row>3</xdr:row>
      <xdr:rowOff>28576</xdr:rowOff>
    </xdr:from>
    <xdr:to>
      <xdr:col>20</xdr:col>
      <xdr:colOff>19050</xdr:colOff>
      <xdr:row>5</xdr:row>
      <xdr:rowOff>199470</xdr:rowOff>
    </xdr:to>
    <xdr:pic>
      <xdr:nvPicPr>
        <xdr:cNvPr id="2" name="Picture 1" descr="Pin by Bond with James on TPT Products | Chemistry classroom, Chemistry  humor, Chemistry jokes">
          <a:extLst>
            <a:ext uri="{FF2B5EF4-FFF2-40B4-BE49-F238E27FC236}">
              <a16:creationId xmlns:a16="http://schemas.microsoft.com/office/drawing/2014/main" id="{8FA07570-457E-4660-B855-562F84BDD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3" t="1434" r="12010" b="33094"/>
        <a:stretch/>
      </xdr:blipFill>
      <xdr:spPr bwMode="auto">
        <a:xfrm>
          <a:off x="8742700" y="619126"/>
          <a:ext cx="610850" cy="561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26</xdr:row>
      <xdr:rowOff>76201</xdr:rowOff>
    </xdr:from>
    <xdr:to>
      <xdr:col>7</xdr:col>
      <xdr:colOff>176212</xdr:colOff>
      <xdr:row>31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3AF729-210B-4817-975A-3ADF7894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0" y="5543551"/>
          <a:ext cx="900112" cy="1200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7</xdr:row>
      <xdr:rowOff>76200</xdr:rowOff>
    </xdr:from>
    <xdr:to>
      <xdr:col>13</xdr:col>
      <xdr:colOff>447894</xdr:colOff>
      <xdr:row>8</xdr:row>
      <xdr:rowOff>171490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006EC-C8D7-441B-88E6-32C6EF49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857250"/>
          <a:ext cx="1571844" cy="28579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11</xdr:row>
      <xdr:rowOff>38100</xdr:rowOff>
    </xdr:from>
    <xdr:to>
      <xdr:col>17</xdr:col>
      <xdr:colOff>28575</xdr:colOff>
      <xdr:row>12</xdr:row>
      <xdr:rowOff>170989</xdr:rowOff>
    </xdr:to>
    <xdr:pic>
      <xdr:nvPicPr>
        <xdr:cNvPr id="4" name="Picture 3" descr="text: alpha or superscript 4, subscript 2 He or superscript 4, subscript 2 alpha">
          <a:extLst>
            <a:ext uri="{FF2B5EF4-FFF2-40B4-BE49-F238E27FC236}">
              <a16:creationId xmlns:a16="http://schemas.microsoft.com/office/drawing/2014/main" id="{F478ABB5-98C9-40F2-A0AB-C2ACF9D7A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1647825"/>
          <a:ext cx="1724025" cy="361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47625</xdr:colOff>
      <xdr:row>14</xdr:row>
      <xdr:rowOff>9525</xdr:rowOff>
    </xdr:from>
    <xdr:to>
      <xdr:col>16</xdr:col>
      <xdr:colOff>447675</xdr:colOff>
      <xdr:row>15</xdr:row>
      <xdr:rowOff>162503</xdr:rowOff>
    </xdr:to>
    <xdr:pic>
      <xdr:nvPicPr>
        <xdr:cNvPr id="5" name="Picture 4" descr="greek letter beta; or greek letter beta preceded by a superscript 0 and a subscript -1; or small letter e preceded by superscript 0 and subscript -1">
          <a:extLst>
            <a:ext uri="{FF2B5EF4-FFF2-40B4-BE49-F238E27FC236}">
              <a16:creationId xmlns:a16="http://schemas.microsoft.com/office/drawing/2014/main" id="{50DA5225-A261-4F62-9ACB-6E7C73D9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2190750"/>
          <a:ext cx="1619250" cy="343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171451</xdr:colOff>
      <xdr:row>16</xdr:row>
      <xdr:rowOff>180976</xdr:rowOff>
    </xdr:from>
    <xdr:to>
      <xdr:col>16</xdr:col>
      <xdr:colOff>19051</xdr:colOff>
      <xdr:row>18</xdr:row>
      <xdr:rowOff>150988</xdr:rowOff>
    </xdr:to>
    <xdr:pic>
      <xdr:nvPicPr>
        <xdr:cNvPr id="6" name="Picture 5" descr="Greek letter gamma or Greek letter gamma, preceded by subscript and superscript zeros.">
          <a:extLst>
            <a:ext uri="{FF2B5EF4-FFF2-40B4-BE49-F238E27FC236}">
              <a16:creationId xmlns:a16="http://schemas.microsoft.com/office/drawing/2014/main" id="{CABE519A-0B09-4841-B45F-D496D3960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1" y="2743201"/>
          <a:ext cx="1066800" cy="35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142875</xdr:colOff>
      <xdr:row>17</xdr:row>
      <xdr:rowOff>66675</xdr:rowOff>
    </xdr:from>
    <xdr:to>
      <xdr:col>13</xdr:col>
      <xdr:colOff>543151</xdr:colOff>
      <xdr:row>18</xdr:row>
      <xdr:rowOff>142912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0549A4-EF2B-4E1E-AB5A-A26009F3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77275" y="2800350"/>
          <a:ext cx="1619476" cy="26673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</xdr:row>
      <xdr:rowOff>57150</xdr:rowOff>
    </xdr:from>
    <xdr:to>
      <xdr:col>12</xdr:col>
      <xdr:colOff>543086</xdr:colOff>
      <xdr:row>21</xdr:row>
      <xdr:rowOff>152440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747D295-8039-4233-A9D4-9D988919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3362325"/>
          <a:ext cx="1152686" cy="28579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23</xdr:row>
      <xdr:rowOff>47625</xdr:rowOff>
    </xdr:from>
    <xdr:to>
      <xdr:col>12</xdr:col>
      <xdr:colOff>590710</xdr:colOff>
      <xdr:row>24</xdr:row>
      <xdr:rowOff>123862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23374F-96BE-4345-ADB2-40BDBFA1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91550" y="3933825"/>
          <a:ext cx="1143160" cy="26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552450</xdr:colOff>
      <xdr:row>26</xdr:row>
      <xdr:rowOff>34309</xdr:rowOff>
    </xdr:from>
    <xdr:to>
      <xdr:col>13</xdr:col>
      <xdr:colOff>47625</xdr:colOff>
      <xdr:row>26</xdr:row>
      <xdr:rowOff>180995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281EE00-CCB0-4053-9839-EF2987C7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96450" y="4482484"/>
          <a:ext cx="104775" cy="146686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266701</xdr:colOff>
      <xdr:row>14</xdr:row>
      <xdr:rowOff>76201</xdr:rowOff>
    </xdr:from>
    <xdr:to>
      <xdr:col>13</xdr:col>
      <xdr:colOff>276397</xdr:colOff>
      <xdr:row>15</xdr:row>
      <xdr:rowOff>171491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5DC17B7-18FF-4B1A-AC11-EA1288AE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01101" y="2257426"/>
          <a:ext cx="1228896" cy="28579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11</xdr:row>
      <xdr:rowOff>66675</xdr:rowOff>
    </xdr:from>
    <xdr:to>
      <xdr:col>13</xdr:col>
      <xdr:colOff>228777</xdr:colOff>
      <xdr:row>12</xdr:row>
      <xdr:rowOff>123865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39A76E2-228D-4728-99ED-FA138796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15375" y="1676400"/>
          <a:ext cx="1267002" cy="28579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7</xdr:row>
      <xdr:rowOff>152400</xdr:rowOff>
    </xdr:from>
    <xdr:to>
      <xdr:col>20</xdr:col>
      <xdr:colOff>124087</xdr:colOff>
      <xdr:row>20</xdr:row>
      <xdr:rowOff>9861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64A164-8F40-4ED3-B9A8-C8918D8C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92025" y="1571625"/>
          <a:ext cx="1876687" cy="24101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133350</xdr:rowOff>
    </xdr:from>
    <xdr:to>
      <xdr:col>20</xdr:col>
      <xdr:colOff>12083</xdr:colOff>
      <xdr:row>37</xdr:row>
      <xdr:rowOff>19050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775906-3E47-43A1-9674-1BCE8441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48625" y="4810125"/>
          <a:ext cx="6108083" cy="179070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37</xdr:row>
      <xdr:rowOff>123825</xdr:rowOff>
    </xdr:from>
    <xdr:to>
      <xdr:col>22</xdr:col>
      <xdr:colOff>342179</xdr:colOff>
      <xdr:row>48</xdr:row>
      <xdr:rowOff>19409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09D5338-B87A-4DBD-B75C-D3152FB4F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91475" y="7353300"/>
          <a:ext cx="7743104" cy="1991084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8</xdr:row>
      <xdr:rowOff>0</xdr:rowOff>
    </xdr:from>
    <xdr:to>
      <xdr:col>32</xdr:col>
      <xdr:colOff>429618</xdr:colOff>
      <xdr:row>31</xdr:row>
      <xdr:rowOff>57783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83B1E3E-B315-4499-88AF-052F3281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01850" y="1609725"/>
          <a:ext cx="7116168" cy="4534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13</xdr:row>
      <xdr:rowOff>28575</xdr:rowOff>
    </xdr:from>
    <xdr:to>
      <xdr:col>23</xdr:col>
      <xdr:colOff>295712</xdr:colOff>
      <xdr:row>19</xdr:row>
      <xdr:rowOff>76374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5D5DC-C1E9-467E-8553-AA0AEDA6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15525" y="2552700"/>
          <a:ext cx="3134162" cy="1247949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20</xdr:row>
      <xdr:rowOff>38100</xdr:rowOff>
    </xdr:from>
    <xdr:to>
      <xdr:col>23</xdr:col>
      <xdr:colOff>238549</xdr:colOff>
      <xdr:row>26</xdr:row>
      <xdr:rowOff>162111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7D8497-7DCF-449A-8F39-F18E15EF3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3971925"/>
          <a:ext cx="3038899" cy="13336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11</xdr:row>
      <xdr:rowOff>12072</xdr:rowOff>
    </xdr:from>
    <xdr:to>
      <xdr:col>16</xdr:col>
      <xdr:colOff>499731</xdr:colOff>
      <xdr:row>22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DAAC1B-2957-4C79-B4A4-6E6B39B0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2155197"/>
          <a:ext cx="4309731" cy="2207253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66674</xdr:colOff>
      <xdr:row>22</xdr:row>
      <xdr:rowOff>47625</xdr:rowOff>
    </xdr:from>
    <xdr:to>
      <xdr:col>16</xdr:col>
      <xdr:colOff>542925</xdr:colOff>
      <xdr:row>30</xdr:row>
      <xdr:rowOff>61611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CA4FA5-6DB2-4F27-B05C-7D0B7977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49" y="4324350"/>
          <a:ext cx="4343401" cy="1680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</xdr:colOff>
      <xdr:row>21</xdr:row>
      <xdr:rowOff>28575</xdr:rowOff>
    </xdr:from>
    <xdr:to>
      <xdr:col>16</xdr:col>
      <xdr:colOff>590551</xdr:colOff>
      <xdr:row>33</xdr:row>
      <xdr:rowOff>105484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19FF9-635B-4979-9CCB-1214EB71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1" y="3276600"/>
          <a:ext cx="4248150" cy="247720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28575</xdr:rowOff>
    </xdr:from>
    <xdr:to>
      <xdr:col>16</xdr:col>
      <xdr:colOff>257721</xdr:colOff>
      <xdr:row>57</xdr:row>
      <xdr:rowOff>172067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0E84C-7484-4434-877C-37E8A9234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5972175"/>
          <a:ext cx="3915321" cy="4420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</xdr:colOff>
      <xdr:row>38</xdr:row>
      <xdr:rowOff>57150</xdr:rowOff>
    </xdr:from>
    <xdr:to>
      <xdr:col>16</xdr:col>
      <xdr:colOff>0</xdr:colOff>
      <xdr:row>51</xdr:row>
      <xdr:rowOff>185737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F7F5FA-3C54-4695-931F-01492C38D9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95250</xdr:colOff>
      <xdr:row>22</xdr:row>
      <xdr:rowOff>60930</xdr:rowOff>
    </xdr:from>
    <xdr:to>
      <xdr:col>28</xdr:col>
      <xdr:colOff>123824</xdr:colOff>
      <xdr:row>46</xdr:row>
      <xdr:rowOff>133955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7945DE-BD98-4D7C-A19A-E0FE954E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7925" y="4613880"/>
          <a:ext cx="7448549" cy="4911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12</xdr:row>
      <xdr:rowOff>28575</xdr:rowOff>
    </xdr:from>
    <xdr:to>
      <xdr:col>21</xdr:col>
      <xdr:colOff>514350</xdr:colOff>
      <xdr:row>21</xdr:row>
      <xdr:rowOff>151617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557B84-D6C9-48C3-A511-521F13B88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3150" y="2495550"/>
          <a:ext cx="3676650" cy="2008992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3</xdr:row>
      <xdr:rowOff>9525</xdr:rowOff>
    </xdr:from>
    <xdr:to>
      <xdr:col>25</xdr:col>
      <xdr:colOff>514668</xdr:colOff>
      <xdr:row>21</xdr:row>
      <xdr:rowOff>152948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950313-4620-4D6C-B55E-B747C181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01725" y="581025"/>
          <a:ext cx="2276793" cy="3924848"/>
        </a:xfrm>
        <a:prstGeom prst="rect">
          <a:avLst/>
        </a:prstGeom>
      </xdr:spPr>
    </xdr:pic>
    <xdr:clientData/>
  </xdr:twoCellAnchor>
  <xdr:twoCellAnchor editAs="oneCell">
    <xdr:from>
      <xdr:col>16</xdr:col>
      <xdr:colOff>189692</xdr:colOff>
      <xdr:row>47</xdr:row>
      <xdr:rowOff>57150</xdr:rowOff>
    </xdr:from>
    <xdr:to>
      <xdr:col>25</xdr:col>
      <xdr:colOff>421896</xdr:colOff>
      <xdr:row>63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D01BB6-ABDC-4FFB-822F-8BA3864D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2367" y="9629775"/>
          <a:ext cx="5823379" cy="30861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48</xdr:row>
      <xdr:rowOff>76200</xdr:rowOff>
    </xdr:from>
    <xdr:to>
      <xdr:col>6</xdr:col>
      <xdr:colOff>343347</xdr:colOff>
      <xdr:row>49</xdr:row>
      <xdr:rowOff>133385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CB027-D848-4028-BF9B-B4E528FC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0" y="9886950"/>
          <a:ext cx="3200847" cy="24768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51</xdr:row>
      <xdr:rowOff>57150</xdr:rowOff>
    </xdr:from>
    <xdr:to>
      <xdr:col>6</xdr:col>
      <xdr:colOff>114300</xdr:colOff>
      <xdr:row>52</xdr:row>
      <xdr:rowOff>139985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9506E52-1FEC-4361-8C72-540D2302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1075" y="10458450"/>
          <a:ext cx="2847975" cy="27333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54</xdr:row>
      <xdr:rowOff>66675</xdr:rowOff>
    </xdr:from>
    <xdr:to>
      <xdr:col>6</xdr:col>
      <xdr:colOff>257612</xdr:colOff>
      <xdr:row>55</xdr:row>
      <xdr:rowOff>114335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3276C1-592C-4F97-97EF-59692186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8200" y="11020425"/>
          <a:ext cx="3134162" cy="24768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57</xdr:row>
      <xdr:rowOff>66675</xdr:rowOff>
    </xdr:from>
    <xdr:to>
      <xdr:col>5</xdr:col>
      <xdr:colOff>457471</xdr:colOff>
      <xdr:row>58</xdr:row>
      <xdr:rowOff>121883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0F16A8-EEBB-4599-B2AE-756940470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5401" y="11591925"/>
          <a:ext cx="2267220" cy="2457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73</xdr:row>
      <xdr:rowOff>47625</xdr:rowOff>
    </xdr:from>
    <xdr:to>
      <xdr:col>15</xdr:col>
      <xdr:colOff>314645</xdr:colOff>
      <xdr:row>74</xdr:row>
      <xdr:rowOff>161969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78A25-C43D-4233-9E6F-012823D1A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14820900"/>
          <a:ext cx="2295845" cy="314369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28576</xdr:colOff>
      <xdr:row>18</xdr:row>
      <xdr:rowOff>38100</xdr:rowOff>
    </xdr:from>
    <xdr:to>
      <xdr:col>20</xdr:col>
      <xdr:colOff>13568</xdr:colOff>
      <xdr:row>26</xdr:row>
      <xdr:rowOff>28837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2A4858-AF89-4F54-AB53-6F9940841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3376" y="3190875"/>
          <a:ext cx="4252192" cy="1695712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26</xdr:row>
      <xdr:rowOff>19050</xdr:rowOff>
    </xdr:from>
    <xdr:to>
      <xdr:col>20</xdr:col>
      <xdr:colOff>9524</xdr:colOff>
      <xdr:row>34</xdr:row>
      <xdr:rowOff>143812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5647CE-3941-4010-A9E5-F5D08601C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4325" y="4848225"/>
          <a:ext cx="4267199" cy="1696387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79</xdr:row>
      <xdr:rowOff>57150</xdr:rowOff>
    </xdr:from>
    <xdr:to>
      <xdr:col>15</xdr:col>
      <xdr:colOff>476250</xdr:colOff>
      <xdr:row>80</xdr:row>
      <xdr:rowOff>139985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4B5EF-6D6C-47DA-BF3A-EC9077D8C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01175" y="15420975"/>
          <a:ext cx="2847975" cy="27333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82</xdr:row>
      <xdr:rowOff>38100</xdr:rowOff>
    </xdr:from>
    <xdr:to>
      <xdr:col>14</xdr:col>
      <xdr:colOff>409796</xdr:colOff>
      <xdr:row>83</xdr:row>
      <xdr:rowOff>152443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083851-A9DD-46F9-B34F-76D0AAD7F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91725" y="16021050"/>
          <a:ext cx="1581371" cy="304843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76</xdr:row>
      <xdr:rowOff>85725</xdr:rowOff>
    </xdr:from>
    <xdr:to>
      <xdr:col>15</xdr:col>
      <xdr:colOff>224557</xdr:colOff>
      <xdr:row>77</xdr:row>
      <xdr:rowOff>85754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477560-C992-41A1-85A2-65A4E5D6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34325" y="15449550"/>
          <a:ext cx="2234332" cy="2286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56586</xdr:colOff>
      <xdr:row>4</xdr:row>
      <xdr:rowOff>85725</xdr:rowOff>
    </xdr:from>
    <xdr:ext cx="2419914" cy="1083863"/>
    <xdr:pic>
      <xdr:nvPicPr>
        <xdr:cNvPr id="3" name="Picture 2">
          <a:extLst>
            <a:ext uri="{FF2B5EF4-FFF2-40B4-BE49-F238E27FC236}">
              <a16:creationId xmlns:a16="http://schemas.microsoft.com/office/drawing/2014/main" id="{BD8AD5E9-EBF0-48A9-ADA1-D4EED705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3211" y="485775"/>
          <a:ext cx="2419914" cy="1083863"/>
        </a:xfrm>
        <a:prstGeom prst="rect">
          <a:avLst/>
        </a:prstGeom>
      </xdr:spPr>
    </xdr:pic>
    <xdr:clientData/>
  </xdr:oneCellAnchor>
  <xdr:oneCellAnchor>
    <xdr:from>
      <xdr:col>22</xdr:col>
      <xdr:colOff>49836</xdr:colOff>
      <xdr:row>4</xdr:row>
      <xdr:rowOff>82060</xdr:rowOff>
    </xdr:from>
    <xdr:ext cx="2332765" cy="1099039"/>
    <xdr:pic>
      <xdr:nvPicPr>
        <xdr:cNvPr id="4" name="Picture 3">
          <a:extLst>
            <a:ext uri="{FF2B5EF4-FFF2-40B4-BE49-F238E27FC236}">
              <a16:creationId xmlns:a16="http://schemas.microsoft.com/office/drawing/2014/main" id="{2FFE012B-1E1B-4FAC-A195-165F484A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4861" y="482110"/>
          <a:ext cx="2332765" cy="1099039"/>
        </a:xfrm>
        <a:prstGeom prst="rect">
          <a:avLst/>
        </a:prstGeom>
      </xdr:spPr>
    </xdr:pic>
    <xdr:clientData/>
  </xdr:oneCellAnchor>
  <xdr:oneCellAnchor>
    <xdr:from>
      <xdr:col>11</xdr:col>
      <xdr:colOff>104775</xdr:colOff>
      <xdr:row>40</xdr:row>
      <xdr:rowOff>57150</xdr:rowOff>
    </xdr:from>
    <xdr:ext cx="3514725" cy="842143"/>
    <xdr:pic>
      <xdr:nvPicPr>
        <xdr:cNvPr id="5" name="Picture 4">
          <a:extLst>
            <a:ext uri="{FF2B5EF4-FFF2-40B4-BE49-F238E27FC236}">
              <a16:creationId xmlns:a16="http://schemas.microsoft.com/office/drawing/2014/main" id="{A542AD8C-5C35-4A1B-BFB4-598AA70C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24600" y="22955250"/>
          <a:ext cx="3514725" cy="842143"/>
        </a:xfrm>
        <a:prstGeom prst="rect">
          <a:avLst/>
        </a:prstGeom>
      </xdr:spPr>
    </xdr:pic>
    <xdr:clientData/>
  </xdr:oneCellAnchor>
  <xdr:twoCellAnchor editAs="oneCell">
    <xdr:from>
      <xdr:col>7</xdr:col>
      <xdr:colOff>381000</xdr:colOff>
      <xdr:row>18</xdr:row>
      <xdr:rowOff>133350</xdr:rowOff>
    </xdr:from>
    <xdr:to>
      <xdr:col>10</xdr:col>
      <xdr:colOff>580827</xdr:colOff>
      <xdr:row>27</xdr:row>
      <xdr:rowOff>59531</xdr:rowOff>
    </xdr:to>
    <xdr:pic>
      <xdr:nvPicPr>
        <xdr:cNvPr id="6" name="Picture 5" descr="Pin by Bond with James on TPT Products | Chemistry classroom, Chemistry  humor, Chemistry jokes">
          <a:extLst>
            <a:ext uri="{FF2B5EF4-FFF2-40B4-BE49-F238E27FC236}">
              <a16:creationId xmlns:a16="http://schemas.microsoft.com/office/drawing/2014/main" id="{F023EB63-93E9-4C92-BF37-0ABA7673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76700"/>
          <a:ext cx="2219127" cy="1993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27325</xdr:colOff>
      <xdr:row>4</xdr:row>
      <xdr:rowOff>19051</xdr:rowOff>
    </xdr:from>
    <xdr:to>
      <xdr:col>18</xdr:col>
      <xdr:colOff>80997</xdr:colOff>
      <xdr:row>7</xdr:row>
      <xdr:rowOff>0</xdr:rowOff>
    </xdr:to>
    <xdr:pic>
      <xdr:nvPicPr>
        <xdr:cNvPr id="2" name="Picture 1" descr="Pin by Bond with James on TPT Products | Chemistry classroom, Chemistry  humor, Chemistry jokes">
          <a:extLst>
            <a:ext uri="{FF2B5EF4-FFF2-40B4-BE49-F238E27FC236}">
              <a16:creationId xmlns:a16="http://schemas.microsoft.com/office/drawing/2014/main" id="{EBC54F7B-21EB-4301-86F0-D4D897BB0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3" t="1434" r="12010" b="33094"/>
        <a:stretch/>
      </xdr:blipFill>
      <xdr:spPr bwMode="auto">
        <a:xfrm>
          <a:off x="9199900" y="847726"/>
          <a:ext cx="663272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371475</xdr:colOff>
      <xdr:row>7</xdr:row>
      <xdr:rowOff>95250</xdr:rowOff>
    </xdr:from>
    <xdr:to>
      <xdr:col>17</xdr:col>
      <xdr:colOff>323851</xdr:colOff>
      <xdr:row>8</xdr:row>
      <xdr:rowOff>118720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70AD7-53C6-4C1D-BF87-45485A86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1476375"/>
          <a:ext cx="3000376" cy="24254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47626</xdr:colOff>
      <xdr:row>9</xdr:row>
      <xdr:rowOff>66675</xdr:rowOff>
    </xdr:from>
    <xdr:to>
      <xdr:col>17</xdr:col>
      <xdr:colOff>600076</xdr:colOff>
      <xdr:row>11</xdr:row>
      <xdr:rowOff>109557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6280C5-7D40-46A3-8B93-BBF53A8A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3626" y="1781175"/>
          <a:ext cx="3600450" cy="481032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12</xdr:row>
      <xdr:rowOff>57150</xdr:rowOff>
    </xdr:from>
    <xdr:to>
      <xdr:col>17</xdr:col>
      <xdr:colOff>171842</xdr:colOff>
      <xdr:row>15</xdr:row>
      <xdr:rowOff>19136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0C2284-BB9E-4471-863D-E2BB5E2F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05575" y="2390775"/>
          <a:ext cx="2810267" cy="619211"/>
        </a:xfrm>
        <a:prstGeom prst="rect">
          <a:avLst/>
        </a:prstGeom>
      </xdr:spPr>
    </xdr:pic>
    <xdr:clientData/>
  </xdr:twoCellAnchor>
  <xdr:twoCellAnchor>
    <xdr:from>
      <xdr:col>15</xdr:col>
      <xdr:colOff>581024</xdr:colOff>
      <xdr:row>10</xdr:row>
      <xdr:rowOff>114300</xdr:rowOff>
    </xdr:from>
    <xdr:to>
      <xdr:col>17</xdr:col>
      <xdr:colOff>552449</xdr:colOff>
      <xdr:row>11</xdr:row>
      <xdr:rowOff>123825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6D4A3F4-31A7-4EF6-A610-392D087C7D13}"/>
            </a:ext>
          </a:extLst>
        </xdr:cNvPr>
        <xdr:cNvSpPr txBox="1"/>
      </xdr:nvSpPr>
      <xdr:spPr>
        <a:xfrm>
          <a:off x="8505824" y="2638425"/>
          <a:ext cx="1190625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/>
            <a:t>Net Ionic Equation</a:t>
          </a:r>
        </a:p>
        <a:p>
          <a:endParaRPr lang="en-US" sz="1100"/>
        </a:p>
      </xdr:txBody>
    </xdr:sp>
    <xdr:clientData/>
  </xdr:twoCellAnchor>
  <xdr:twoCellAnchor editAs="oneCell">
    <xdr:from>
      <xdr:col>10</xdr:col>
      <xdr:colOff>20902</xdr:colOff>
      <xdr:row>25</xdr:row>
      <xdr:rowOff>57150</xdr:rowOff>
    </xdr:from>
    <xdr:to>
      <xdr:col>18</xdr:col>
      <xdr:colOff>1710</xdr:colOff>
      <xdr:row>34</xdr:row>
      <xdr:rowOff>133349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8B0B97-7F25-4B5C-A60D-5FE51AE2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7702" y="3514725"/>
          <a:ext cx="4857608" cy="1885949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66676</xdr:colOff>
      <xdr:row>38</xdr:row>
      <xdr:rowOff>47626</xdr:rowOff>
    </xdr:from>
    <xdr:to>
      <xdr:col>17</xdr:col>
      <xdr:colOff>542925</xdr:colOff>
      <xdr:row>51</xdr:row>
      <xdr:rowOff>29485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FF9BF8-A528-404D-8FE8-8DA9F1AE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43476" y="7191376"/>
          <a:ext cx="4743449" cy="2582184"/>
        </a:xfrm>
        <a:prstGeom prst="rect">
          <a:avLst/>
        </a:prstGeom>
      </xdr:spPr>
    </xdr:pic>
    <xdr:clientData/>
  </xdr:twoCellAnchor>
  <xdr:twoCellAnchor editAs="oneCell">
    <xdr:from>
      <xdr:col>20</xdr:col>
      <xdr:colOff>171451</xdr:colOff>
      <xdr:row>55</xdr:row>
      <xdr:rowOff>133350</xdr:rowOff>
    </xdr:from>
    <xdr:to>
      <xdr:col>25</xdr:col>
      <xdr:colOff>409575</xdr:colOff>
      <xdr:row>63</xdr:row>
      <xdr:rowOff>42301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F84A8E8-990C-47BC-AF09-D216753F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4251" y="12039600"/>
          <a:ext cx="3286124" cy="168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228600</xdr:colOff>
      <xdr:row>35</xdr:row>
      <xdr:rowOff>76200</xdr:rowOff>
    </xdr:from>
    <xdr:to>
      <xdr:col>25</xdr:col>
      <xdr:colOff>447676</xdr:colOff>
      <xdr:row>43</xdr:row>
      <xdr:rowOff>191007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4A055A1-F0CD-4E24-95B1-3BAB79CD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1400" y="8172450"/>
          <a:ext cx="3267076" cy="1676907"/>
        </a:xfrm>
        <a:prstGeom prst="rect">
          <a:avLst/>
        </a:prstGeom>
      </xdr:spPr>
    </xdr:pic>
    <xdr:clientData/>
  </xdr:twoCellAnchor>
  <xdr:twoCellAnchor editAs="oneCell">
    <xdr:from>
      <xdr:col>20</xdr:col>
      <xdr:colOff>190499</xdr:colOff>
      <xdr:row>45</xdr:row>
      <xdr:rowOff>114301</xdr:rowOff>
    </xdr:from>
    <xdr:to>
      <xdr:col>25</xdr:col>
      <xdr:colOff>438150</xdr:colOff>
      <xdr:row>53</xdr:row>
      <xdr:rowOff>128731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7AB3D3-0FE0-4007-B12B-8CA157E7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63299" y="10115551"/>
          <a:ext cx="3295651" cy="1662255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30</xdr:row>
      <xdr:rowOff>28575</xdr:rowOff>
    </xdr:from>
    <xdr:to>
      <xdr:col>26</xdr:col>
      <xdr:colOff>391138</xdr:colOff>
      <xdr:row>34</xdr:row>
      <xdr:rowOff>104896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A676223-687C-40AC-B286-675CC8928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43500" y="11744325"/>
          <a:ext cx="4391638" cy="866896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123826</xdr:colOff>
      <xdr:row>64</xdr:row>
      <xdr:rowOff>28575</xdr:rowOff>
    </xdr:from>
    <xdr:to>
      <xdr:col>15</xdr:col>
      <xdr:colOff>371476</xdr:colOff>
      <xdr:row>65</xdr:row>
      <xdr:rowOff>120622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8BC01C-858F-4C89-87CB-ADFFE5BF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19826" y="11506200"/>
          <a:ext cx="2076450" cy="320647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390526</xdr:colOff>
      <xdr:row>67</xdr:row>
      <xdr:rowOff>38100</xdr:rowOff>
    </xdr:from>
    <xdr:to>
      <xdr:col>16</xdr:col>
      <xdr:colOff>180976</xdr:colOff>
      <xdr:row>68</xdr:row>
      <xdr:rowOff>115365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880817-27A7-436A-B16B-8E3028F5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76926" y="12087225"/>
          <a:ext cx="2838450" cy="305865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70</xdr:row>
      <xdr:rowOff>38101</xdr:rowOff>
    </xdr:from>
    <xdr:to>
      <xdr:col>16</xdr:col>
      <xdr:colOff>523875</xdr:colOff>
      <xdr:row>71</xdr:row>
      <xdr:rowOff>122765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621CAB4-EB2D-4ED2-A2DD-0A259E28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43575" y="12677776"/>
          <a:ext cx="3314700" cy="313264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209551</xdr:colOff>
      <xdr:row>73</xdr:row>
      <xdr:rowOff>28576</xdr:rowOff>
    </xdr:from>
    <xdr:to>
      <xdr:col>16</xdr:col>
      <xdr:colOff>533401</xdr:colOff>
      <xdr:row>74</xdr:row>
      <xdr:rowOff>124729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B391563-D84D-4D81-B63A-9F848C7C6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95951" y="13268326"/>
          <a:ext cx="3371850" cy="334278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76</xdr:row>
      <xdr:rowOff>9525</xdr:rowOff>
    </xdr:from>
    <xdr:to>
      <xdr:col>17</xdr:col>
      <xdr:colOff>247650</xdr:colOff>
      <xdr:row>77</xdr:row>
      <xdr:rowOff>118994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E3FE4BD-4C0B-4392-BB3C-55F6AF57B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05425" y="13858875"/>
          <a:ext cx="4086225" cy="3380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79</xdr:row>
      <xdr:rowOff>28576</xdr:rowOff>
    </xdr:from>
    <xdr:to>
      <xdr:col>16</xdr:col>
      <xdr:colOff>495301</xdr:colOff>
      <xdr:row>80</xdr:row>
      <xdr:rowOff>146686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EAD4FA4-9FD8-4735-A48D-E5BD6415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62601" y="14487526"/>
          <a:ext cx="3467100" cy="346710"/>
        </a:xfrm>
        <a:prstGeom prst="rect">
          <a:avLst/>
        </a:prstGeom>
      </xdr:spPr>
    </xdr:pic>
    <xdr:clientData/>
  </xdr:twoCellAnchor>
  <xdr:twoCellAnchor editAs="oneCell">
    <xdr:from>
      <xdr:col>19</xdr:col>
      <xdr:colOff>17800</xdr:colOff>
      <xdr:row>2</xdr:row>
      <xdr:rowOff>28576</xdr:rowOff>
    </xdr:from>
    <xdr:to>
      <xdr:col>20</xdr:col>
      <xdr:colOff>71472</xdr:colOff>
      <xdr:row>4</xdr:row>
      <xdr:rowOff>219075</xdr:rowOff>
    </xdr:to>
    <xdr:pic>
      <xdr:nvPicPr>
        <xdr:cNvPr id="19" name="Picture 18" descr="Pin by Bond with James on TPT Products | Chemistry classroom, Chemistry  humor, Chemistry jokes">
          <a:extLst>
            <a:ext uri="{FF2B5EF4-FFF2-40B4-BE49-F238E27FC236}">
              <a16:creationId xmlns:a16="http://schemas.microsoft.com/office/drawing/2014/main" id="{51828117-E359-4946-8E5F-CA6C48EE9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3" t="1434" r="12010" b="33094"/>
        <a:stretch/>
      </xdr:blipFill>
      <xdr:spPr bwMode="auto">
        <a:xfrm>
          <a:off x="10990600" y="428626"/>
          <a:ext cx="663272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327049</xdr:colOff>
      <xdr:row>30</xdr:row>
      <xdr:rowOff>19051</xdr:rowOff>
    </xdr:from>
    <xdr:to>
      <xdr:col>5</xdr:col>
      <xdr:colOff>361950</xdr:colOff>
      <xdr:row>37</xdr:row>
      <xdr:rowOff>136824</xdr:rowOff>
    </xdr:to>
    <xdr:pic>
      <xdr:nvPicPr>
        <xdr:cNvPr id="23" name="Picture 22" descr="Fat, Teaching, and Cat: CATHODE AND ANODE&#10; BIG FAT RED CAT&#10; ANOREXIC OX&#10;What are You Teaching Me!?">
          <a:extLst>
            <a:ext uri="{FF2B5EF4-FFF2-40B4-BE49-F238E27FC236}">
              <a16:creationId xmlns:a16="http://schemas.microsoft.com/office/drawing/2014/main" id="{C4A01B9D-37E9-4120-8BD9-6957F5F05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0" t="-1" r="7000" b="18518"/>
        <a:stretch/>
      </xdr:blipFill>
      <xdr:spPr bwMode="auto">
        <a:xfrm>
          <a:off x="936649" y="6467476"/>
          <a:ext cx="2473301" cy="1517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285750</xdr:colOff>
      <xdr:row>22</xdr:row>
      <xdr:rowOff>28575</xdr:rowOff>
    </xdr:from>
    <xdr:to>
      <xdr:col>16</xdr:col>
      <xdr:colOff>419100</xdr:colOff>
      <xdr:row>23</xdr:row>
      <xdr:rowOff>135136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45A9E6-78A4-49E5-9E15-D5E2CDDE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210550" y="4810125"/>
          <a:ext cx="1962150" cy="306586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19</xdr:row>
      <xdr:rowOff>47625</xdr:rowOff>
    </xdr:from>
    <xdr:to>
      <xdr:col>17</xdr:col>
      <xdr:colOff>419564</xdr:colOff>
      <xdr:row>20</xdr:row>
      <xdr:rowOff>95287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997DA80-58E2-4701-BC5B-1F97B85A6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458075" y="4162425"/>
          <a:ext cx="3324689" cy="26673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eth Weiss" id="{DAE1D792-8D91-478B-9916-4FC6444C63EF}" userId="0d82fe63993b72fb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6" dT="2021-02-21T07:09:07.87" personId="{DAE1D792-8D91-478B-9916-4FC6444C63EF}" id="{3EC2230D-C629-4936-8627-0F19232A7624}">
    <text>Keep an eye on this formula, it might not be correct in all situations.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blebits.com/office-addins-blog/2018/05/16/how-to-superscript-subscript-excel/" TargetMode="External"/><Relationship Id="rId1" Type="http://schemas.openxmlformats.org/officeDocument/2006/relationships/hyperlink" Target="https://en.wikipedia.org/wiki/Arrow_(symbol)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F6ABB-C900-4019-B35C-BDD7BF8165CC}">
  <dimension ref="A1:AS164"/>
  <sheetViews>
    <sheetView tabSelected="1" workbookViewId="0">
      <selection activeCell="F1" sqref="F1"/>
    </sheetView>
  </sheetViews>
  <sheetFormatPr defaultRowHeight="15" x14ac:dyDescent="0.25"/>
  <cols>
    <col min="1" max="1" width="9.140625" style="27"/>
    <col min="4" max="4" width="9.140625" customWidth="1"/>
    <col min="7" max="16" width="9.140625" style="27"/>
    <col min="17" max="17" width="10" style="27" bestFit="1" customWidth="1"/>
    <col min="18" max="19" width="9.140625" style="27"/>
    <col min="22" max="22" width="9.140625" customWidth="1"/>
    <col min="24" max="24" width="12" bestFit="1" customWidth="1"/>
    <col min="25" max="25" width="10" bestFit="1" customWidth="1"/>
  </cols>
  <sheetData>
    <row r="1" spans="1:45" s="27" customFormat="1" x14ac:dyDescent="0.25">
      <c r="A1" t="s">
        <v>291</v>
      </c>
    </row>
    <row r="2" spans="1:45" s="27" customFormat="1" x14ac:dyDescent="0.25">
      <c r="A2" s="27" t="s">
        <v>513</v>
      </c>
      <c r="AB2" s="30"/>
      <c r="AC2" s="30"/>
      <c r="AD2" s="30"/>
    </row>
    <row r="3" spans="1:45" s="27" customFormat="1" ht="15.75" thickBot="1" x14ac:dyDescent="0.3">
      <c r="A3" s="356" t="s">
        <v>446</v>
      </c>
      <c r="B3" s="356"/>
      <c r="C3" s="356"/>
      <c r="D3" s="356"/>
      <c r="E3" s="356"/>
      <c r="F3" s="356"/>
      <c r="G3" s="356"/>
      <c r="H3" s="356"/>
      <c r="I3" s="356"/>
      <c r="J3" s="356"/>
      <c r="K3" s="264"/>
      <c r="L3" s="264"/>
      <c r="M3" s="264"/>
      <c r="AB3" s="30"/>
      <c r="AC3" s="30"/>
      <c r="AD3" s="30"/>
    </row>
    <row r="4" spans="1:45" s="27" customFormat="1" ht="15.75" thickBot="1" x14ac:dyDescent="0.3">
      <c r="A4" s="356" t="s">
        <v>471</v>
      </c>
      <c r="B4" s="356"/>
      <c r="C4" s="356"/>
      <c r="D4" s="356"/>
      <c r="E4" s="356"/>
      <c r="F4" s="118"/>
      <c r="G4" s="118"/>
      <c r="H4" s="118"/>
      <c r="I4" s="118"/>
      <c r="J4" s="118"/>
      <c r="K4" s="118"/>
      <c r="L4" s="118"/>
      <c r="M4" s="118"/>
      <c r="N4" s="342" t="s">
        <v>309</v>
      </c>
      <c r="O4" s="343"/>
      <c r="P4" s="343"/>
      <c r="Q4" s="343"/>
      <c r="R4" s="344"/>
      <c r="S4" s="264"/>
    </row>
    <row r="5" spans="1:45" s="27" customFormat="1" ht="15.75" thickBot="1" x14ac:dyDescent="0.3">
      <c r="N5" s="363" t="s">
        <v>310</v>
      </c>
      <c r="O5" s="364"/>
      <c r="P5" s="77">
        <v>273.14999999999998</v>
      </c>
      <c r="Q5" s="364" t="s">
        <v>329</v>
      </c>
      <c r="R5" s="365"/>
      <c r="S5" s="118"/>
    </row>
    <row r="6" spans="1:45" ht="15.75" customHeight="1" thickBot="1" x14ac:dyDescent="0.3">
      <c r="A6" s="342" t="s">
        <v>47</v>
      </c>
      <c r="B6" s="343"/>
      <c r="C6" s="343"/>
      <c r="D6" s="344"/>
      <c r="E6" s="27"/>
      <c r="F6" s="27"/>
      <c r="N6" s="357" t="s">
        <v>311</v>
      </c>
      <c r="O6" s="358"/>
      <c r="P6" s="76">
        <v>33.799999999999997</v>
      </c>
      <c r="Q6" s="358" t="s">
        <v>328</v>
      </c>
      <c r="R6" s="359"/>
    </row>
    <row r="7" spans="1:45" ht="18.75" thickBot="1" x14ac:dyDescent="0.4">
      <c r="A7" s="378" t="s">
        <v>193</v>
      </c>
      <c r="B7" s="379"/>
      <c r="C7" s="52" t="s">
        <v>48</v>
      </c>
      <c r="D7" s="56">
        <v>18.015280000000001</v>
      </c>
      <c r="E7" s="27"/>
      <c r="F7" s="27"/>
      <c r="G7" s="178"/>
      <c r="H7" s="342" t="s">
        <v>728</v>
      </c>
      <c r="I7" s="343"/>
      <c r="J7" s="343"/>
      <c r="K7" s="343"/>
      <c r="L7" s="344"/>
      <c r="M7" s="176"/>
    </row>
    <row r="8" spans="1:45" ht="15" customHeight="1" thickBot="1" x14ac:dyDescent="0.4">
      <c r="A8" s="380" t="s">
        <v>194</v>
      </c>
      <c r="B8" s="381"/>
      <c r="C8" s="50" t="s">
        <v>49</v>
      </c>
      <c r="D8" s="51">
        <v>31.998799999999999</v>
      </c>
      <c r="E8" s="27"/>
      <c r="F8" s="27"/>
      <c r="G8" s="263"/>
      <c r="H8" s="369" t="s">
        <v>1165</v>
      </c>
      <c r="I8" s="370"/>
      <c r="J8" s="370"/>
      <c r="K8" s="370"/>
      <c r="L8" s="371"/>
      <c r="M8" s="176"/>
      <c r="N8" s="257" t="s">
        <v>1186</v>
      </c>
      <c r="O8" s="254" t="s">
        <v>1187</v>
      </c>
      <c r="P8" s="254" t="s">
        <v>1188</v>
      </c>
      <c r="Q8" s="254" t="s">
        <v>1186</v>
      </c>
      <c r="R8" s="254" t="s">
        <v>1187</v>
      </c>
      <c r="S8" s="255" t="s">
        <v>1188</v>
      </c>
    </row>
    <row r="9" spans="1:45" ht="18.75" thickBot="1" x14ac:dyDescent="0.4">
      <c r="A9" s="380" t="s">
        <v>195</v>
      </c>
      <c r="B9" s="381"/>
      <c r="C9" s="50" t="s">
        <v>50</v>
      </c>
      <c r="D9" s="51">
        <v>44.009500000000003</v>
      </c>
      <c r="E9" s="27"/>
      <c r="F9" s="27"/>
      <c r="G9" s="263"/>
      <c r="H9" s="372" t="s">
        <v>1166</v>
      </c>
      <c r="I9" s="373"/>
      <c r="J9" s="373"/>
      <c r="K9" s="373"/>
      <c r="L9" s="374"/>
      <c r="M9" s="68"/>
      <c r="N9" s="250" t="s">
        <v>1189</v>
      </c>
      <c r="O9" s="251" t="s">
        <v>1190</v>
      </c>
      <c r="P9" s="251" t="s">
        <v>1221</v>
      </c>
      <c r="Q9" s="251" t="s">
        <v>1204</v>
      </c>
      <c r="R9" s="251" t="s">
        <v>487</v>
      </c>
      <c r="S9" s="266" t="s">
        <v>1231</v>
      </c>
      <c r="AP9" s="23"/>
      <c r="AQ9" s="23"/>
    </row>
    <row r="10" spans="1:45" ht="15" customHeight="1" thickBot="1" x14ac:dyDescent="0.3">
      <c r="A10" s="380" t="s">
        <v>164</v>
      </c>
      <c r="B10" s="381"/>
      <c r="C10" s="53" t="s">
        <v>168</v>
      </c>
      <c r="D10" s="54">
        <v>44.095619999999997</v>
      </c>
      <c r="E10" s="27"/>
      <c r="F10" s="27"/>
      <c r="G10" s="176"/>
      <c r="H10" s="382" t="s">
        <v>610</v>
      </c>
      <c r="I10" s="383"/>
      <c r="J10" s="170" t="s">
        <v>745</v>
      </c>
      <c r="K10" s="351">
        <f>IF(J10="Hf",_xlfn.XLOOKUP(H10,H13:H138,J13:J138,"Check Input",0),
IF(J10="Gf",_xlfn.XLOOKUP(H10,H13:H138,K13:K138,"Check Input",0),
IF(J10="S",_xlfn.XLOOKUP(H10,H13:H138,L13:L138,"Check Input",0))))</f>
        <v>-53.4</v>
      </c>
      <c r="L10" s="352"/>
      <c r="M10" s="68"/>
      <c r="N10" s="252" t="s">
        <v>1191</v>
      </c>
      <c r="O10" s="253" t="s">
        <v>1152</v>
      </c>
      <c r="P10" s="253" t="s">
        <v>1222</v>
      </c>
      <c r="Q10" s="253" t="s">
        <v>1205</v>
      </c>
      <c r="R10" s="253" t="s">
        <v>486</v>
      </c>
      <c r="S10" s="267" t="s">
        <v>1232</v>
      </c>
      <c r="AP10" s="23"/>
      <c r="AQ10" s="23"/>
    </row>
    <row r="11" spans="1:45" ht="18.75" thickBot="1" x14ac:dyDescent="0.4">
      <c r="A11" s="384" t="s">
        <v>151</v>
      </c>
      <c r="B11" s="385"/>
      <c r="C11" s="49" t="s">
        <v>180</v>
      </c>
      <c r="D11" s="55">
        <v>58.122199999999999</v>
      </c>
      <c r="E11" s="27"/>
      <c r="F11" s="27"/>
      <c r="G11" s="176"/>
      <c r="H11" s="421" t="s">
        <v>596</v>
      </c>
      <c r="I11" s="422"/>
      <c r="J11" s="162" t="s">
        <v>597</v>
      </c>
      <c r="K11" s="162" t="s">
        <v>598</v>
      </c>
      <c r="L11" s="163" t="s">
        <v>599</v>
      </c>
      <c r="M11" s="68"/>
      <c r="N11" s="252" t="s">
        <v>1192</v>
      </c>
      <c r="O11" s="253" t="s">
        <v>425</v>
      </c>
      <c r="P11" s="253" t="s">
        <v>1223</v>
      </c>
      <c r="Q11" s="253" t="s">
        <v>1206</v>
      </c>
      <c r="R11" s="253" t="s">
        <v>1207</v>
      </c>
      <c r="S11" s="267" t="s">
        <v>1233</v>
      </c>
      <c r="AP11" s="23"/>
      <c r="AQ11" s="23"/>
    </row>
    <row r="12" spans="1:45" ht="15.75" thickBot="1" x14ac:dyDescent="0.3">
      <c r="B12" s="27"/>
      <c r="G12" s="68"/>
      <c r="H12" s="345" t="s">
        <v>600</v>
      </c>
      <c r="I12" s="346"/>
      <c r="J12" s="346"/>
      <c r="K12" s="346"/>
      <c r="L12" s="347"/>
      <c r="M12" s="68"/>
      <c r="N12" s="252" t="s">
        <v>1193</v>
      </c>
      <c r="O12" s="253" t="s">
        <v>538</v>
      </c>
      <c r="P12" s="253" t="s">
        <v>1224</v>
      </c>
      <c r="Q12" s="253" t="s">
        <v>1208</v>
      </c>
      <c r="R12" s="253" t="s">
        <v>1209</v>
      </c>
      <c r="S12" s="267" t="s">
        <v>1234</v>
      </c>
    </row>
    <row r="13" spans="1:45" ht="15.75" thickBot="1" x14ac:dyDescent="0.3">
      <c r="A13" s="388" t="s">
        <v>290</v>
      </c>
      <c r="B13" s="389"/>
      <c r="C13" s="389"/>
      <c r="D13" s="389"/>
      <c r="E13" s="389"/>
      <c r="F13" s="390"/>
      <c r="G13" s="68"/>
      <c r="H13" s="336" t="s">
        <v>601</v>
      </c>
      <c r="I13" s="337"/>
      <c r="J13" s="87" t="s">
        <v>602</v>
      </c>
      <c r="K13" s="87">
        <v>-485</v>
      </c>
      <c r="L13" s="164" t="s">
        <v>602</v>
      </c>
      <c r="M13" s="68"/>
      <c r="N13" s="252" t="s">
        <v>1194</v>
      </c>
      <c r="O13" s="253" t="s">
        <v>1195</v>
      </c>
      <c r="P13" s="253" t="s">
        <v>1225</v>
      </c>
      <c r="Q13" s="253" t="s">
        <v>1210</v>
      </c>
      <c r="R13" s="253" t="s">
        <v>1211</v>
      </c>
      <c r="S13" s="267" t="s">
        <v>1235</v>
      </c>
    </row>
    <row r="14" spans="1:45" x14ac:dyDescent="0.25">
      <c r="A14" s="391" t="s">
        <v>287</v>
      </c>
      <c r="B14" s="392"/>
      <c r="C14" s="392"/>
      <c r="D14" s="392"/>
      <c r="E14" s="392"/>
      <c r="F14" s="393"/>
      <c r="G14" s="68"/>
      <c r="H14" s="336" t="s">
        <v>603</v>
      </c>
      <c r="I14" s="337"/>
      <c r="J14" s="87">
        <v>0</v>
      </c>
      <c r="K14" s="87">
        <v>0</v>
      </c>
      <c r="L14" s="164">
        <v>28.3</v>
      </c>
      <c r="M14" s="68"/>
      <c r="N14" s="252" t="s">
        <v>1196</v>
      </c>
      <c r="O14" s="253" t="s">
        <v>1197</v>
      </c>
      <c r="P14" s="253" t="s">
        <v>1226</v>
      </c>
      <c r="Q14" s="253" t="s">
        <v>1212</v>
      </c>
      <c r="R14" s="253" t="s">
        <v>1213</v>
      </c>
      <c r="S14" s="267" t="s">
        <v>1236</v>
      </c>
    </row>
    <row r="15" spans="1:45" x14ac:dyDescent="0.25">
      <c r="A15" s="394"/>
      <c r="B15" s="395"/>
      <c r="C15" s="395"/>
      <c r="D15" s="395"/>
      <c r="E15" s="395"/>
      <c r="F15" s="396"/>
      <c r="G15" s="68"/>
      <c r="H15" s="336" t="s">
        <v>604</v>
      </c>
      <c r="I15" s="337"/>
      <c r="J15" s="87">
        <v>-1675.7</v>
      </c>
      <c r="K15" s="87">
        <v>-1582.3</v>
      </c>
      <c r="L15" s="164">
        <v>50.9</v>
      </c>
      <c r="M15" s="263"/>
      <c r="N15" s="252" t="s">
        <v>1198</v>
      </c>
      <c r="O15" s="253" t="s">
        <v>206</v>
      </c>
      <c r="P15" s="253" t="s">
        <v>1227</v>
      </c>
      <c r="Q15" s="253" t="s">
        <v>1214</v>
      </c>
      <c r="R15" s="253" t="s">
        <v>1215</v>
      </c>
      <c r="S15" s="267" t="s">
        <v>1237</v>
      </c>
    </row>
    <row r="16" spans="1:45" x14ac:dyDescent="0.25">
      <c r="A16" s="397" t="s">
        <v>288</v>
      </c>
      <c r="B16" s="398"/>
      <c r="C16" s="398"/>
      <c r="D16" s="398"/>
      <c r="E16" s="398"/>
      <c r="F16" s="399"/>
      <c r="G16" s="68"/>
      <c r="H16" s="336" t="s">
        <v>605</v>
      </c>
      <c r="I16" s="337"/>
      <c r="J16" s="87" t="s">
        <v>602</v>
      </c>
      <c r="K16" s="87">
        <v>-1147.25</v>
      </c>
      <c r="L16" s="164" t="s">
        <v>602</v>
      </c>
      <c r="M16" s="263"/>
      <c r="N16" s="252" t="s">
        <v>1199</v>
      </c>
      <c r="O16" s="253" t="s">
        <v>1200</v>
      </c>
      <c r="P16" s="253" t="s">
        <v>1228</v>
      </c>
      <c r="Q16" s="253" t="s">
        <v>1216</v>
      </c>
      <c r="R16" s="253" t="s">
        <v>488</v>
      </c>
      <c r="S16" s="267" t="s">
        <v>1238</v>
      </c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</row>
    <row r="17" spans="1:45" x14ac:dyDescent="0.25">
      <c r="A17" s="400"/>
      <c r="B17" s="401"/>
      <c r="C17" s="401"/>
      <c r="D17" s="401"/>
      <c r="E17" s="401"/>
      <c r="F17" s="402"/>
      <c r="G17" s="68"/>
      <c r="H17" s="348" t="s">
        <v>606</v>
      </c>
      <c r="I17" s="349"/>
      <c r="J17" s="349"/>
      <c r="K17" s="349"/>
      <c r="L17" s="350"/>
      <c r="M17" s="68"/>
      <c r="N17" s="252" t="s">
        <v>1201</v>
      </c>
      <c r="O17" s="253" t="s">
        <v>1202</v>
      </c>
      <c r="P17" s="253" t="s">
        <v>1229</v>
      </c>
      <c r="Q17" s="253" t="s">
        <v>1217</v>
      </c>
      <c r="R17" s="253" t="s">
        <v>1218</v>
      </c>
      <c r="S17" s="267" t="s">
        <v>1239</v>
      </c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</row>
    <row r="18" spans="1:45" ht="15.75" customHeight="1" thickBot="1" x14ac:dyDescent="0.3">
      <c r="A18" s="386"/>
      <c r="B18" s="46" t="s">
        <v>185</v>
      </c>
      <c r="C18" s="46" t="s">
        <v>289</v>
      </c>
      <c r="D18" s="409"/>
      <c r="E18" s="410"/>
      <c r="F18" s="411"/>
      <c r="G18" s="263"/>
      <c r="H18" s="336" t="s">
        <v>607</v>
      </c>
      <c r="I18" s="337"/>
      <c r="J18" s="87" t="s">
        <v>602</v>
      </c>
      <c r="K18" s="87">
        <v>-104</v>
      </c>
      <c r="L18" s="164" t="s">
        <v>602</v>
      </c>
      <c r="M18" s="68"/>
      <c r="N18" s="248" t="s">
        <v>1203</v>
      </c>
      <c r="O18" s="249" t="s">
        <v>230</v>
      </c>
      <c r="P18" s="249" t="s">
        <v>1230</v>
      </c>
      <c r="Q18" s="249" t="s">
        <v>1219</v>
      </c>
      <c r="R18" s="249" t="s">
        <v>1220</v>
      </c>
      <c r="S18" s="268" t="s">
        <v>1240</v>
      </c>
      <c r="T18" s="71"/>
      <c r="U18" s="71"/>
      <c r="V18" s="71"/>
      <c r="W18" s="71"/>
      <c r="X18" s="71"/>
      <c r="Y18" s="287"/>
      <c r="Z18" s="4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</row>
    <row r="19" spans="1:45" ht="15.75" thickBot="1" x14ac:dyDescent="0.3">
      <c r="A19" s="386"/>
      <c r="B19" s="47" t="s">
        <v>52</v>
      </c>
      <c r="C19" s="47">
        <v>1.0079400000000001</v>
      </c>
      <c r="D19" s="412"/>
      <c r="E19" s="413"/>
      <c r="F19" s="414"/>
      <c r="G19" s="263"/>
      <c r="H19" s="336" t="s">
        <v>608</v>
      </c>
      <c r="I19" s="337"/>
      <c r="J19" s="87">
        <v>0</v>
      </c>
      <c r="K19" s="87">
        <v>0</v>
      </c>
      <c r="L19" s="164">
        <v>152.19999999999999</v>
      </c>
      <c r="M19" s="68"/>
      <c r="R19" s="68"/>
      <c r="S19" s="68"/>
    </row>
    <row r="20" spans="1:45" ht="15.75" thickBot="1" x14ac:dyDescent="0.3">
      <c r="A20" s="386"/>
      <c r="B20" s="47" t="s">
        <v>196</v>
      </c>
      <c r="C20" s="47">
        <v>4.0026020000000004</v>
      </c>
      <c r="D20" s="412"/>
      <c r="E20" s="413"/>
      <c r="F20" s="414"/>
      <c r="G20" s="68"/>
      <c r="H20" s="336" t="s">
        <v>609</v>
      </c>
      <c r="I20" s="337"/>
      <c r="J20" s="87">
        <v>30.9</v>
      </c>
      <c r="K20" s="87">
        <v>3.1</v>
      </c>
      <c r="L20" s="164">
        <v>245.5</v>
      </c>
      <c r="M20" s="68"/>
      <c r="N20" s="375" t="s">
        <v>1145</v>
      </c>
      <c r="O20" s="376"/>
      <c r="P20" s="376"/>
      <c r="Q20" s="376"/>
      <c r="R20" s="377"/>
      <c r="S20" s="425" t="s">
        <v>1146</v>
      </c>
      <c r="T20" s="426"/>
      <c r="U20" s="491" t="s">
        <v>1147</v>
      </c>
      <c r="V20" s="492"/>
      <c r="W20" s="492"/>
      <c r="X20" s="493"/>
    </row>
    <row r="21" spans="1:45" ht="18" x14ac:dyDescent="0.25">
      <c r="A21" s="386"/>
      <c r="B21" s="47" t="s">
        <v>197</v>
      </c>
      <c r="C21" s="47">
        <v>6.9409999999999998</v>
      </c>
      <c r="D21" s="412"/>
      <c r="E21" s="413"/>
      <c r="F21" s="414"/>
      <c r="G21" s="68"/>
      <c r="H21" s="336" t="s">
        <v>610</v>
      </c>
      <c r="I21" s="337"/>
      <c r="J21" s="87">
        <v>-36.299999999999997</v>
      </c>
      <c r="K21" s="87">
        <v>-53.4</v>
      </c>
      <c r="L21" s="164">
        <v>198.7</v>
      </c>
      <c r="M21" s="68"/>
      <c r="N21" s="378" t="s">
        <v>1148</v>
      </c>
      <c r="O21" s="379"/>
      <c r="P21" s="379"/>
      <c r="Q21" s="379"/>
      <c r="R21" s="379"/>
      <c r="S21" s="379" t="s">
        <v>1167</v>
      </c>
      <c r="T21" s="379"/>
      <c r="U21" s="379" t="s">
        <v>1249</v>
      </c>
      <c r="V21" s="379"/>
      <c r="W21" s="428"/>
      <c r="X21" s="272">
        <f>(6.02214*10^23)</f>
        <v>6.0221399999999997E+23</v>
      </c>
    </row>
    <row r="22" spans="1:45" ht="17.25" x14ac:dyDescent="0.25">
      <c r="A22" s="386"/>
      <c r="B22" s="47" t="s">
        <v>198</v>
      </c>
      <c r="C22" s="47">
        <v>9.0121819999999992</v>
      </c>
      <c r="D22" s="412"/>
      <c r="E22" s="413"/>
      <c r="F22" s="414"/>
      <c r="G22" s="68"/>
      <c r="H22" s="353" t="s">
        <v>611</v>
      </c>
      <c r="I22" s="354"/>
      <c r="J22" s="354"/>
      <c r="K22" s="354"/>
      <c r="L22" s="355"/>
      <c r="M22" s="68"/>
      <c r="N22" s="430" t="s">
        <v>1269</v>
      </c>
      <c r="O22" s="431"/>
      <c r="P22" s="431"/>
      <c r="Q22" s="431"/>
      <c r="R22" s="432"/>
      <c r="S22" s="427" t="s">
        <v>1149</v>
      </c>
      <c r="T22" s="427"/>
      <c r="U22" s="381" t="s">
        <v>1244</v>
      </c>
      <c r="V22" s="381"/>
      <c r="W22" s="429"/>
      <c r="X22" s="271">
        <v>8.3145000000000007</v>
      </c>
    </row>
    <row r="23" spans="1:45" ht="17.25" x14ac:dyDescent="0.25">
      <c r="A23" s="386"/>
      <c r="B23" s="47" t="s">
        <v>2</v>
      </c>
      <c r="C23" s="47">
        <v>10.811</v>
      </c>
      <c r="D23" s="415"/>
      <c r="E23" s="416"/>
      <c r="F23" s="417"/>
      <c r="G23" s="68"/>
      <c r="H23" s="336" t="s">
        <v>612</v>
      </c>
      <c r="I23" s="337"/>
      <c r="J23" s="87" t="s">
        <v>602</v>
      </c>
      <c r="K23" s="87">
        <v>-553.6</v>
      </c>
      <c r="L23" s="164" t="s">
        <v>602</v>
      </c>
      <c r="M23" s="68"/>
      <c r="N23" s="430" t="s">
        <v>1270</v>
      </c>
      <c r="O23" s="431"/>
      <c r="P23" s="431"/>
      <c r="Q23" s="431"/>
      <c r="R23" s="432"/>
      <c r="S23" s="427"/>
      <c r="T23" s="427"/>
      <c r="U23" s="381" t="s">
        <v>1245</v>
      </c>
      <c r="V23" s="381"/>
      <c r="W23" s="429"/>
      <c r="X23" s="24">
        <v>8.2059999999999994E-2</v>
      </c>
    </row>
    <row r="24" spans="1:45" ht="17.25" x14ac:dyDescent="0.25">
      <c r="A24" s="386"/>
      <c r="B24" s="45" t="s">
        <v>286</v>
      </c>
      <c r="C24" s="45">
        <v>12.0107</v>
      </c>
      <c r="D24" s="403" t="s">
        <v>338</v>
      </c>
      <c r="E24" s="404"/>
      <c r="F24" s="405"/>
      <c r="G24" s="68"/>
      <c r="H24" s="336" t="s">
        <v>613</v>
      </c>
      <c r="I24" s="337"/>
      <c r="J24" s="87">
        <v>-795.4</v>
      </c>
      <c r="K24" s="87" t="s">
        <v>602</v>
      </c>
      <c r="L24" s="164" t="s">
        <v>602</v>
      </c>
      <c r="M24" s="68"/>
      <c r="N24" s="380" t="s">
        <v>1150</v>
      </c>
      <c r="O24" s="381"/>
      <c r="P24" s="381"/>
      <c r="Q24" s="381"/>
      <c r="R24" s="381"/>
      <c r="S24" s="427" t="s">
        <v>486</v>
      </c>
      <c r="T24" s="427"/>
      <c r="U24" s="381" t="s">
        <v>1246</v>
      </c>
      <c r="V24" s="381"/>
      <c r="W24" s="429"/>
      <c r="X24" s="24">
        <v>299792458</v>
      </c>
    </row>
    <row r="25" spans="1:45" ht="17.25" x14ac:dyDescent="0.25">
      <c r="A25" s="386"/>
      <c r="B25" s="47" t="s">
        <v>199</v>
      </c>
      <c r="C25" s="47">
        <v>14.0067</v>
      </c>
      <c r="D25" s="406"/>
      <c r="E25" s="407"/>
      <c r="F25" s="408"/>
      <c r="G25" s="68"/>
      <c r="H25" s="336" t="s">
        <v>614</v>
      </c>
      <c r="I25" s="337"/>
      <c r="J25" s="87">
        <v>-634.9</v>
      </c>
      <c r="K25" s="87" t="s">
        <v>602</v>
      </c>
      <c r="L25" s="164" t="s">
        <v>602</v>
      </c>
      <c r="M25" s="68"/>
      <c r="N25" s="380" t="s">
        <v>1151</v>
      </c>
      <c r="O25" s="381"/>
      <c r="P25" s="381"/>
      <c r="Q25" s="381"/>
      <c r="R25" s="381"/>
      <c r="S25" s="427" t="s">
        <v>1152</v>
      </c>
      <c r="T25" s="427"/>
      <c r="U25" s="381" t="s">
        <v>1248</v>
      </c>
      <c r="V25" s="381"/>
      <c r="W25" s="429"/>
      <c r="X25" s="24">
        <f>6.62607*10^-34</f>
        <v>6.6260700000000011E-34</v>
      </c>
    </row>
    <row r="26" spans="1:45" ht="18" x14ac:dyDescent="0.25">
      <c r="A26" s="386"/>
      <c r="B26" s="47" t="s">
        <v>53</v>
      </c>
      <c r="C26" s="47">
        <v>15.9994</v>
      </c>
      <c r="D26" s="409"/>
      <c r="E26" s="410"/>
      <c r="F26" s="411"/>
      <c r="G26" s="68"/>
      <c r="H26" s="336" t="s">
        <v>615</v>
      </c>
      <c r="I26" s="337"/>
      <c r="J26" s="87">
        <v>-985.2</v>
      </c>
      <c r="K26" s="87" t="s">
        <v>602</v>
      </c>
      <c r="L26" s="164" t="s">
        <v>602</v>
      </c>
      <c r="M26" s="68"/>
      <c r="N26" s="380" t="s">
        <v>1153</v>
      </c>
      <c r="O26" s="381"/>
      <c r="P26" s="381"/>
      <c r="Q26" s="381"/>
      <c r="R26" s="381"/>
      <c r="S26" s="381" t="s">
        <v>1168</v>
      </c>
      <c r="T26" s="381"/>
      <c r="U26" s="381" t="s">
        <v>1247</v>
      </c>
      <c r="V26" s="381"/>
      <c r="W26" s="429"/>
      <c r="X26" s="24">
        <f>2.17987*10^-18</f>
        <v>2.1798700000000002E-18</v>
      </c>
    </row>
    <row r="27" spans="1:45" ht="18" x14ac:dyDescent="0.25">
      <c r="A27" s="386"/>
      <c r="B27" s="47" t="s">
        <v>200</v>
      </c>
      <c r="C27" s="47">
        <v>18.998403199999998</v>
      </c>
      <c r="D27" s="412"/>
      <c r="E27" s="413"/>
      <c r="F27" s="414"/>
      <c r="G27" s="68"/>
      <c r="H27" s="336" t="s">
        <v>616</v>
      </c>
      <c r="I27" s="337"/>
      <c r="J27" s="87" t="s">
        <v>602</v>
      </c>
      <c r="K27" s="87">
        <v>-3884.7</v>
      </c>
      <c r="L27" s="164" t="s">
        <v>602</v>
      </c>
      <c r="M27" s="68"/>
      <c r="N27" s="380" t="s">
        <v>1154</v>
      </c>
      <c r="O27" s="381"/>
      <c r="P27" s="381"/>
      <c r="Q27" s="381"/>
      <c r="R27" s="381"/>
      <c r="S27" s="381" t="s">
        <v>1169</v>
      </c>
      <c r="T27" s="381"/>
      <c r="U27" s="381" t="s">
        <v>1250</v>
      </c>
      <c r="V27" s="381"/>
      <c r="W27" s="429"/>
      <c r="X27" s="271">
        <f>1.38064852*10^-23</f>
        <v>1.3806485200000002E-23</v>
      </c>
    </row>
    <row r="28" spans="1:45" ht="17.25" x14ac:dyDescent="0.25">
      <c r="A28" s="386"/>
      <c r="B28" s="47" t="s">
        <v>201</v>
      </c>
      <c r="C28" s="47">
        <v>20.1797</v>
      </c>
      <c r="D28" s="412"/>
      <c r="E28" s="413"/>
      <c r="F28" s="414"/>
      <c r="G28" s="68"/>
      <c r="H28" s="348" t="s">
        <v>617</v>
      </c>
      <c r="I28" s="349"/>
      <c r="J28" s="349"/>
      <c r="K28" s="349"/>
      <c r="L28" s="350"/>
      <c r="M28" s="68"/>
      <c r="N28" s="380" t="s">
        <v>1155</v>
      </c>
      <c r="O28" s="381"/>
      <c r="P28" s="381"/>
      <c r="Q28" s="381"/>
      <c r="R28" s="381"/>
      <c r="S28" s="427" t="s">
        <v>1156</v>
      </c>
      <c r="T28" s="427"/>
      <c r="U28" s="381" t="s">
        <v>1251</v>
      </c>
      <c r="V28" s="381"/>
      <c r="W28" s="429"/>
      <c r="X28" s="24">
        <f>1.60218*10^-19</f>
        <v>1.60218E-19</v>
      </c>
    </row>
    <row r="29" spans="1:45" ht="18" x14ac:dyDescent="0.25">
      <c r="A29" s="386"/>
      <c r="B29" s="47" t="s">
        <v>202</v>
      </c>
      <c r="C29" s="47">
        <v>22.989769280000001</v>
      </c>
      <c r="D29" s="412"/>
      <c r="E29" s="413"/>
      <c r="F29" s="414"/>
      <c r="G29" s="68"/>
      <c r="H29" s="336" t="s">
        <v>618</v>
      </c>
      <c r="I29" s="337"/>
      <c r="J29" s="87">
        <v>0</v>
      </c>
      <c r="K29" s="87">
        <v>0</v>
      </c>
      <c r="L29" s="164">
        <v>5.7</v>
      </c>
      <c r="M29" s="68"/>
      <c r="N29" s="380" t="s">
        <v>1157</v>
      </c>
      <c r="O29" s="381"/>
      <c r="P29" s="381"/>
      <c r="Q29" s="381"/>
      <c r="R29" s="381"/>
      <c r="S29" s="381" t="s">
        <v>1170</v>
      </c>
      <c r="T29" s="381"/>
      <c r="U29" s="381" t="s">
        <v>1252</v>
      </c>
      <c r="V29" s="381"/>
      <c r="W29" s="429"/>
      <c r="X29" s="24">
        <f>9.10938*10^-31</f>
        <v>9.1093800000000005E-31</v>
      </c>
    </row>
    <row r="30" spans="1:45" ht="17.25" x14ac:dyDescent="0.25">
      <c r="A30" s="386"/>
      <c r="B30" s="47" t="s">
        <v>203</v>
      </c>
      <c r="C30" s="47">
        <v>24.305</v>
      </c>
      <c r="D30" s="412"/>
      <c r="E30" s="413"/>
      <c r="F30" s="414"/>
      <c r="G30" s="68"/>
      <c r="H30" s="336" t="s">
        <v>619</v>
      </c>
      <c r="I30" s="337"/>
      <c r="J30" s="87">
        <v>-95.7</v>
      </c>
      <c r="K30" s="87">
        <v>-64</v>
      </c>
      <c r="L30" s="164">
        <v>309.39999999999998</v>
      </c>
      <c r="M30" s="68"/>
      <c r="N30" s="380" t="s">
        <v>1158</v>
      </c>
      <c r="O30" s="381"/>
      <c r="P30" s="381"/>
      <c r="Q30" s="381"/>
      <c r="R30" s="381"/>
      <c r="S30" s="381" t="s">
        <v>1159</v>
      </c>
      <c r="T30" s="381"/>
      <c r="U30" s="381" t="s">
        <v>1253</v>
      </c>
      <c r="V30" s="381"/>
      <c r="W30" s="429"/>
      <c r="X30" s="24">
        <f>1.66054*10^-27</f>
        <v>1.66054E-27</v>
      </c>
    </row>
    <row r="31" spans="1:45" ht="17.25" x14ac:dyDescent="0.25">
      <c r="A31" s="386"/>
      <c r="B31" s="47" t="s">
        <v>204</v>
      </c>
      <c r="C31" s="47">
        <v>26.9815386</v>
      </c>
      <c r="D31" s="412"/>
      <c r="E31" s="413"/>
      <c r="F31" s="414"/>
      <c r="G31" s="68"/>
      <c r="H31" s="336" t="s">
        <v>620</v>
      </c>
      <c r="I31" s="337"/>
      <c r="J31" s="87">
        <v>-128.19999999999999</v>
      </c>
      <c r="K31" s="87">
        <v>-68.599999999999994</v>
      </c>
      <c r="L31" s="164">
        <v>214.4</v>
      </c>
      <c r="M31" s="68"/>
      <c r="N31" s="380" t="s">
        <v>1160</v>
      </c>
      <c r="O31" s="381"/>
      <c r="P31" s="381"/>
      <c r="Q31" s="381"/>
      <c r="R31" s="381"/>
      <c r="S31" s="427" t="s">
        <v>572</v>
      </c>
      <c r="T31" s="427"/>
      <c r="U31" s="381" t="s">
        <v>1254</v>
      </c>
      <c r="V31" s="381"/>
      <c r="W31" s="429"/>
      <c r="X31" s="24">
        <f>9.80665</f>
        <v>9.8066499999999994</v>
      </c>
    </row>
    <row r="32" spans="1:45" ht="18" x14ac:dyDescent="0.25">
      <c r="A32" s="386"/>
      <c r="B32" s="47" t="s">
        <v>205</v>
      </c>
      <c r="C32" s="47">
        <v>28.0855</v>
      </c>
      <c r="D32" s="412"/>
      <c r="E32" s="413"/>
      <c r="F32" s="414"/>
      <c r="G32" s="68"/>
      <c r="H32" s="336" t="s">
        <v>621</v>
      </c>
      <c r="I32" s="337"/>
      <c r="J32" s="87">
        <v>-136.80000000000001</v>
      </c>
      <c r="K32" s="87" t="s">
        <v>602</v>
      </c>
      <c r="L32" s="164" t="s">
        <v>602</v>
      </c>
      <c r="M32" s="68"/>
      <c r="N32" s="380" t="s">
        <v>1161</v>
      </c>
      <c r="O32" s="381"/>
      <c r="P32" s="381"/>
      <c r="Q32" s="381"/>
      <c r="R32" s="381"/>
      <c r="S32" s="427" t="s">
        <v>1171</v>
      </c>
      <c r="T32" s="427"/>
      <c r="U32" s="381" t="s">
        <v>1255</v>
      </c>
      <c r="V32" s="381"/>
      <c r="W32" s="429"/>
      <c r="X32" s="24">
        <f>1.01158*10^-14</f>
        <v>1.0115799999999999E-14</v>
      </c>
    </row>
    <row r="33" spans="1:24" ht="17.25" x14ac:dyDescent="0.25">
      <c r="A33" s="386"/>
      <c r="B33" s="47" t="s">
        <v>206</v>
      </c>
      <c r="C33" s="47">
        <v>30.973762000000001</v>
      </c>
      <c r="D33" s="412"/>
      <c r="E33" s="413"/>
      <c r="F33" s="414"/>
      <c r="G33" s="68"/>
      <c r="H33" s="336" t="s">
        <v>622</v>
      </c>
      <c r="I33" s="337"/>
      <c r="J33" s="87">
        <v>-74.599999999999994</v>
      </c>
      <c r="K33" s="87">
        <v>-50.5</v>
      </c>
      <c r="L33" s="164">
        <v>186.3</v>
      </c>
      <c r="M33" s="68"/>
      <c r="N33" s="380" t="s">
        <v>1162</v>
      </c>
      <c r="O33" s="381"/>
      <c r="P33" s="381"/>
      <c r="Q33" s="381"/>
      <c r="R33" s="381"/>
      <c r="S33" s="427" t="s">
        <v>200</v>
      </c>
      <c r="T33" s="427"/>
      <c r="U33" s="381" t="s">
        <v>1256</v>
      </c>
      <c r="V33" s="381"/>
      <c r="W33" s="429"/>
      <c r="X33" s="24">
        <v>96485.3</v>
      </c>
    </row>
    <row r="34" spans="1:24" ht="17.25" x14ac:dyDescent="0.25">
      <c r="A34" s="386"/>
      <c r="B34" s="47" t="s">
        <v>207</v>
      </c>
      <c r="C34" s="47">
        <v>32.064999999999998</v>
      </c>
      <c r="D34" s="412"/>
      <c r="E34" s="413"/>
      <c r="F34" s="414"/>
      <c r="G34" s="68"/>
      <c r="H34" s="336" t="s">
        <v>623</v>
      </c>
      <c r="I34" s="337"/>
      <c r="J34" s="87">
        <v>227.4</v>
      </c>
      <c r="K34" s="87" t="s">
        <v>602</v>
      </c>
      <c r="L34" s="164" t="s">
        <v>602</v>
      </c>
      <c r="M34" s="68"/>
      <c r="N34" s="380" t="s">
        <v>1163</v>
      </c>
      <c r="O34" s="381"/>
      <c r="P34" s="381"/>
      <c r="Q34" s="381"/>
      <c r="R34" s="381"/>
      <c r="S34" s="427" t="s">
        <v>425</v>
      </c>
      <c r="T34" s="427"/>
      <c r="U34" s="381" t="s">
        <v>1257</v>
      </c>
      <c r="V34" s="381"/>
      <c r="W34" s="429"/>
      <c r="X34" s="24">
        <f>8.98755*10^9</f>
        <v>8987550000</v>
      </c>
    </row>
    <row r="35" spans="1:24" ht="18.75" thickBot="1" x14ac:dyDescent="0.3">
      <c r="A35" s="386"/>
      <c r="B35" s="47" t="s">
        <v>208</v>
      </c>
      <c r="C35" s="47">
        <v>35.453000000000003</v>
      </c>
      <c r="D35" s="412"/>
      <c r="E35" s="413"/>
      <c r="F35" s="414"/>
      <c r="G35" s="68"/>
      <c r="H35" s="336" t="s">
        <v>624</v>
      </c>
      <c r="I35" s="337"/>
      <c r="J35" s="87">
        <v>-84</v>
      </c>
      <c r="K35" s="87" t="s">
        <v>602</v>
      </c>
      <c r="L35" s="164" t="s">
        <v>602</v>
      </c>
      <c r="M35" s="68"/>
      <c r="N35" s="384" t="s">
        <v>1164</v>
      </c>
      <c r="O35" s="385"/>
      <c r="P35" s="385"/>
      <c r="Q35" s="385"/>
      <c r="R35" s="385"/>
      <c r="S35" s="385" t="s">
        <v>1172</v>
      </c>
      <c r="T35" s="385"/>
      <c r="U35" s="385" t="s">
        <v>1258</v>
      </c>
      <c r="V35" s="385"/>
      <c r="W35" s="433"/>
      <c r="X35" s="89">
        <f>8.85419*10^-12</f>
        <v>8.854189999999999E-12</v>
      </c>
    </row>
    <row r="36" spans="1:24" ht="15.75" thickBot="1" x14ac:dyDescent="0.3">
      <c r="A36" s="386"/>
      <c r="B36" s="47" t="s">
        <v>209</v>
      </c>
      <c r="C36" s="47">
        <v>39.948</v>
      </c>
      <c r="D36" s="412"/>
      <c r="E36" s="413"/>
      <c r="F36" s="414"/>
      <c r="G36" s="68"/>
      <c r="H36" s="336" t="s">
        <v>625</v>
      </c>
      <c r="I36" s="337"/>
      <c r="J36" s="87">
        <v>-103.85</v>
      </c>
      <c r="K36" s="87">
        <v>-23.4</v>
      </c>
      <c r="L36" s="164">
        <v>270.3</v>
      </c>
      <c r="M36" s="68"/>
      <c r="R36" s="68"/>
      <c r="S36" s="68"/>
    </row>
    <row r="37" spans="1:24" ht="15.75" thickBot="1" x14ac:dyDescent="0.3">
      <c r="A37" s="386"/>
      <c r="B37" s="47" t="s">
        <v>210</v>
      </c>
      <c r="C37" s="47">
        <v>39.098300000000002</v>
      </c>
      <c r="D37" s="412"/>
      <c r="E37" s="413"/>
      <c r="F37" s="414"/>
      <c r="G37" s="68"/>
      <c r="H37" s="336" t="s">
        <v>626</v>
      </c>
      <c r="I37" s="337"/>
      <c r="J37" s="87">
        <v>-125.7</v>
      </c>
      <c r="K37" s="87">
        <v>-15.7</v>
      </c>
      <c r="L37" s="164">
        <v>310</v>
      </c>
      <c r="M37" s="68"/>
      <c r="N37" s="142" t="s">
        <v>576</v>
      </c>
      <c r="O37" s="376" t="s">
        <v>580</v>
      </c>
      <c r="P37" s="377"/>
      <c r="R37" s="360" t="s">
        <v>366</v>
      </c>
      <c r="S37" s="361"/>
      <c r="T37" s="362"/>
    </row>
    <row r="38" spans="1:24" x14ac:dyDescent="0.25">
      <c r="A38" s="386"/>
      <c r="B38" s="47" t="s">
        <v>211</v>
      </c>
      <c r="C38" s="47">
        <v>40.078000000000003</v>
      </c>
      <c r="D38" s="412"/>
      <c r="E38" s="413"/>
      <c r="F38" s="414"/>
      <c r="G38" s="68"/>
      <c r="H38" s="336" t="s">
        <v>627</v>
      </c>
      <c r="I38" s="337"/>
      <c r="J38" s="87">
        <v>-147.30000000000001</v>
      </c>
      <c r="K38" s="87">
        <v>-15</v>
      </c>
      <c r="L38" s="164">
        <v>231</v>
      </c>
      <c r="M38" s="68"/>
      <c r="N38" s="135" t="s">
        <v>581</v>
      </c>
      <c r="O38" s="423">
        <f>1.17*10^-10</f>
        <v>1.1700000000000001E-10</v>
      </c>
      <c r="P38" s="424"/>
      <c r="R38" s="363" t="s">
        <v>534</v>
      </c>
      <c r="S38" s="364"/>
      <c r="T38" s="365"/>
    </row>
    <row r="39" spans="1:24" x14ac:dyDescent="0.25">
      <c r="A39" s="386"/>
      <c r="B39" s="47" t="s">
        <v>212</v>
      </c>
      <c r="C39" s="47">
        <v>44.955911999999998</v>
      </c>
      <c r="D39" s="412"/>
      <c r="E39" s="413"/>
      <c r="F39" s="414"/>
      <c r="G39" s="68"/>
      <c r="H39" s="336" t="s">
        <v>628</v>
      </c>
      <c r="I39" s="337"/>
      <c r="J39" s="87">
        <v>49.1</v>
      </c>
      <c r="K39" s="87">
        <v>124.5</v>
      </c>
      <c r="L39" s="164">
        <v>173.4</v>
      </c>
      <c r="M39" s="68"/>
      <c r="N39" s="137" t="s">
        <v>562</v>
      </c>
      <c r="O39" s="338">
        <f>1.08*10^-10</f>
        <v>1.0800000000000001E-10</v>
      </c>
      <c r="P39" s="339"/>
      <c r="R39" s="366" t="s">
        <v>369</v>
      </c>
      <c r="S39" s="367"/>
      <c r="T39" s="368"/>
    </row>
    <row r="40" spans="1:24" ht="15.75" thickBot="1" x14ac:dyDescent="0.3">
      <c r="A40" s="386"/>
      <c r="B40" s="47" t="s">
        <v>213</v>
      </c>
      <c r="C40" s="47">
        <v>47.866999999999997</v>
      </c>
      <c r="D40" s="412"/>
      <c r="E40" s="413"/>
      <c r="F40" s="414"/>
      <c r="G40" s="68"/>
      <c r="H40" s="336" t="s">
        <v>629</v>
      </c>
      <c r="I40" s="337"/>
      <c r="J40" s="87">
        <v>82.9</v>
      </c>
      <c r="K40" s="87">
        <v>129.69999999999999</v>
      </c>
      <c r="L40" s="164">
        <v>269.2</v>
      </c>
      <c r="M40" s="68"/>
      <c r="N40" s="137" t="s">
        <v>582</v>
      </c>
      <c r="O40" s="338">
        <f>3.36*10^-9</f>
        <v>3.36E-9</v>
      </c>
      <c r="P40" s="339"/>
      <c r="R40" s="357" t="s">
        <v>368</v>
      </c>
      <c r="S40" s="358"/>
      <c r="T40" s="359"/>
    </row>
    <row r="41" spans="1:24" ht="15.75" thickBot="1" x14ac:dyDescent="0.3">
      <c r="A41" s="386"/>
      <c r="B41" s="47" t="s">
        <v>214</v>
      </c>
      <c r="C41" s="47">
        <v>50.941499999999998</v>
      </c>
      <c r="D41" s="412"/>
      <c r="E41" s="413"/>
      <c r="F41" s="414"/>
      <c r="G41" s="68"/>
      <c r="H41" s="336" t="s">
        <v>630</v>
      </c>
      <c r="I41" s="337"/>
      <c r="J41" s="87">
        <v>-239.2</v>
      </c>
      <c r="K41" s="87">
        <v>-166.6</v>
      </c>
      <c r="L41" s="164">
        <v>126.8</v>
      </c>
      <c r="M41" s="68"/>
      <c r="N41" s="137" t="s">
        <v>583</v>
      </c>
      <c r="O41" s="338">
        <f>3.45*10^-11</f>
        <v>3.4499999999999997E-11</v>
      </c>
      <c r="P41" s="339"/>
      <c r="R41" s="68"/>
    </row>
    <row r="42" spans="1:24" ht="15.75" thickBot="1" x14ac:dyDescent="0.3">
      <c r="A42" s="386"/>
      <c r="B42" s="47" t="s">
        <v>215</v>
      </c>
      <c r="C42" s="47">
        <v>51.996099999999998</v>
      </c>
      <c r="D42" s="412"/>
      <c r="E42" s="413"/>
      <c r="F42" s="414"/>
      <c r="G42" s="68"/>
      <c r="H42" s="336" t="s">
        <v>631</v>
      </c>
      <c r="I42" s="337"/>
      <c r="J42" s="87">
        <v>-201</v>
      </c>
      <c r="K42" s="87">
        <v>-162.30000000000001</v>
      </c>
      <c r="L42" s="164">
        <v>239.9</v>
      </c>
      <c r="M42" s="68"/>
      <c r="N42" s="137" t="s">
        <v>584</v>
      </c>
      <c r="O42" s="338">
        <f>5.92*10^-15</f>
        <v>5.9200000000000007E-15</v>
      </c>
      <c r="P42" s="339"/>
      <c r="R42" s="360" t="s">
        <v>363</v>
      </c>
      <c r="S42" s="361"/>
      <c r="T42" s="361"/>
      <c r="U42" s="362"/>
    </row>
    <row r="43" spans="1:24" x14ac:dyDescent="0.25">
      <c r="A43" s="386"/>
      <c r="B43" s="47" t="s">
        <v>216</v>
      </c>
      <c r="C43" s="47">
        <v>54.938045000000002</v>
      </c>
      <c r="D43" s="412"/>
      <c r="E43" s="413"/>
      <c r="F43" s="414"/>
      <c r="G43" s="68"/>
      <c r="H43" s="336" t="s">
        <v>632</v>
      </c>
      <c r="I43" s="337"/>
      <c r="J43" s="87">
        <v>-279.5</v>
      </c>
      <c r="K43" s="87">
        <v>-346.74</v>
      </c>
      <c r="L43" s="164">
        <v>253.5</v>
      </c>
      <c r="M43" s="68"/>
      <c r="N43" s="137" t="s">
        <v>577</v>
      </c>
      <c r="O43" s="338">
        <f>6.27*10^-9</f>
        <v>6.2700000000000001E-9</v>
      </c>
      <c r="P43" s="339"/>
      <c r="Q43" s="68"/>
      <c r="R43" s="363" t="s">
        <v>364</v>
      </c>
      <c r="S43" s="364"/>
      <c r="T43" s="364"/>
      <c r="U43" s="365"/>
    </row>
    <row r="44" spans="1:24" x14ac:dyDescent="0.25">
      <c r="A44" s="386"/>
      <c r="B44" s="47" t="s">
        <v>217</v>
      </c>
      <c r="C44" s="47">
        <v>55.844999999999999</v>
      </c>
      <c r="D44" s="412"/>
      <c r="E44" s="413"/>
      <c r="F44" s="414"/>
      <c r="G44" s="68"/>
      <c r="H44" s="336" t="s">
        <v>633</v>
      </c>
      <c r="I44" s="337"/>
      <c r="J44" s="87">
        <v>-1237.3</v>
      </c>
      <c r="K44" s="87">
        <v>-910.4</v>
      </c>
      <c r="L44" s="164">
        <v>212.1</v>
      </c>
      <c r="M44" s="68"/>
      <c r="N44" s="137" t="s">
        <v>585</v>
      </c>
      <c r="O44" s="338">
        <f>1.4*10^-10</f>
        <v>1.4000000000000001E-10</v>
      </c>
      <c r="P44" s="339"/>
      <c r="Q44" s="68"/>
      <c r="R44" s="366" t="s">
        <v>367</v>
      </c>
      <c r="S44" s="367"/>
      <c r="T44" s="367"/>
      <c r="U44" s="368"/>
    </row>
    <row r="45" spans="1:24" ht="15.75" thickBot="1" x14ac:dyDescent="0.3">
      <c r="A45" s="386"/>
      <c r="B45" s="47" t="s">
        <v>218</v>
      </c>
      <c r="C45" s="47">
        <v>58.933194999999998</v>
      </c>
      <c r="D45" s="412"/>
      <c r="E45" s="413"/>
      <c r="F45" s="414"/>
      <c r="G45" s="68"/>
      <c r="H45" s="336" t="s">
        <v>634</v>
      </c>
      <c r="I45" s="337"/>
      <c r="J45" s="87">
        <v>-110.5</v>
      </c>
      <c r="K45" s="87">
        <v>-137.19999999999999</v>
      </c>
      <c r="L45" s="164">
        <v>197.7</v>
      </c>
      <c r="M45" s="68"/>
      <c r="N45" s="137" t="s">
        <v>573</v>
      </c>
      <c r="O45" s="338">
        <f>4.87*10^-17</f>
        <v>4.8700000000000007E-17</v>
      </c>
      <c r="P45" s="339"/>
      <c r="Q45" s="263"/>
      <c r="R45" s="357" t="s">
        <v>365</v>
      </c>
      <c r="S45" s="358"/>
      <c r="T45" s="358"/>
      <c r="U45" s="359"/>
    </row>
    <row r="46" spans="1:24" x14ac:dyDescent="0.25">
      <c r="A46" s="386"/>
      <c r="B46" s="47" t="s">
        <v>219</v>
      </c>
      <c r="C46" s="47">
        <v>58.693399999999997</v>
      </c>
      <c r="D46" s="412"/>
      <c r="E46" s="413"/>
      <c r="F46" s="414"/>
      <c r="G46" s="68"/>
      <c r="H46" s="336" t="s">
        <v>635</v>
      </c>
      <c r="I46" s="337"/>
      <c r="J46" s="87">
        <v>-393.5</v>
      </c>
      <c r="K46" s="87">
        <v>-394.4</v>
      </c>
      <c r="L46" s="164">
        <v>213.8</v>
      </c>
      <c r="M46" s="68"/>
      <c r="N46" s="137" t="s">
        <v>586</v>
      </c>
      <c r="O46" s="338">
        <f>7.4*10^-14</f>
        <v>7.4E-14</v>
      </c>
      <c r="P46" s="339"/>
      <c r="Q46" s="263"/>
      <c r="R46" s="68"/>
    </row>
    <row r="47" spans="1:24" x14ac:dyDescent="0.25">
      <c r="A47" s="386"/>
      <c r="B47" s="47" t="s">
        <v>220</v>
      </c>
      <c r="C47" s="47">
        <v>63.545999999999999</v>
      </c>
      <c r="D47" s="412"/>
      <c r="E47" s="413"/>
      <c r="F47" s="414"/>
      <c r="G47" s="68"/>
      <c r="H47" s="336" t="s">
        <v>636</v>
      </c>
      <c r="I47" s="337"/>
      <c r="J47" s="87">
        <v>-277.60000000000002</v>
      </c>
      <c r="K47" s="87">
        <v>-174.8</v>
      </c>
      <c r="L47" s="164">
        <v>160.69999999999999</v>
      </c>
      <c r="M47" s="68"/>
      <c r="N47" s="137" t="s">
        <v>575</v>
      </c>
      <c r="O47" s="338">
        <f>2.8*10^-13</f>
        <v>2.7999999999999997E-13</v>
      </c>
      <c r="P47" s="339"/>
      <c r="Q47" s="68"/>
      <c r="R47" s="68"/>
    </row>
    <row r="48" spans="1:24" x14ac:dyDescent="0.25">
      <c r="A48" s="386"/>
      <c r="B48" s="47" t="s">
        <v>221</v>
      </c>
      <c r="C48" s="47">
        <v>65.38</v>
      </c>
      <c r="D48" s="412"/>
      <c r="E48" s="413"/>
      <c r="F48" s="414"/>
      <c r="G48" s="68"/>
      <c r="H48" s="336" t="s">
        <v>637</v>
      </c>
      <c r="I48" s="337"/>
      <c r="J48" s="87">
        <v>-234.8</v>
      </c>
      <c r="K48" s="87">
        <v>-167.9</v>
      </c>
      <c r="L48" s="164">
        <v>281.60000000000002</v>
      </c>
      <c r="M48" s="68"/>
      <c r="N48" s="137" t="s">
        <v>587</v>
      </c>
      <c r="O48" s="338">
        <f>3.3*10^-8</f>
        <v>3.2999999999999998E-8</v>
      </c>
      <c r="P48" s="339"/>
      <c r="Q48" s="68"/>
      <c r="R48" s="68"/>
    </row>
    <row r="49" spans="1:20" x14ac:dyDescent="0.25">
      <c r="A49" s="386"/>
      <c r="B49" s="47" t="s">
        <v>222</v>
      </c>
      <c r="C49" s="47">
        <v>69.722999999999999</v>
      </c>
      <c r="D49" s="412"/>
      <c r="E49" s="413"/>
      <c r="F49" s="414"/>
      <c r="G49" s="68"/>
      <c r="H49" s="336" t="s">
        <v>638</v>
      </c>
      <c r="I49" s="337"/>
      <c r="J49" s="87">
        <v>-484.3</v>
      </c>
      <c r="K49" s="87">
        <v>-389.9</v>
      </c>
      <c r="L49" s="164">
        <v>159.80000000000001</v>
      </c>
      <c r="M49" s="68"/>
      <c r="N49" s="137" t="s">
        <v>588</v>
      </c>
      <c r="O49" s="338">
        <f>5.61*10^-12</f>
        <v>5.6100000000000005E-12</v>
      </c>
      <c r="P49" s="339"/>
      <c r="Q49" s="68"/>
      <c r="R49" s="68"/>
    </row>
    <row r="50" spans="1:20" x14ac:dyDescent="0.25">
      <c r="A50" s="386"/>
      <c r="B50" s="47" t="s">
        <v>223</v>
      </c>
      <c r="C50" s="47">
        <v>72.63</v>
      </c>
      <c r="D50" s="412"/>
      <c r="E50" s="413"/>
      <c r="F50" s="414"/>
      <c r="G50" s="68"/>
      <c r="H50" s="336" t="s">
        <v>639</v>
      </c>
      <c r="I50" s="337"/>
      <c r="J50" s="87">
        <v>-472.8</v>
      </c>
      <c r="K50" s="87" t="s">
        <v>602</v>
      </c>
      <c r="L50" s="164" t="s">
        <v>602</v>
      </c>
      <c r="M50" s="68"/>
      <c r="N50" s="137" t="s">
        <v>589</v>
      </c>
      <c r="O50" s="338">
        <f>5.48*10^-16</f>
        <v>5.4800000000000003E-16</v>
      </c>
      <c r="P50" s="339"/>
      <c r="Q50" s="68"/>
      <c r="R50" s="68"/>
    </row>
    <row r="51" spans="1:20" x14ac:dyDescent="0.25">
      <c r="A51" s="386"/>
      <c r="B51" s="47" t="s">
        <v>224</v>
      </c>
      <c r="C51" s="47">
        <v>74.921999999999997</v>
      </c>
      <c r="D51" s="412"/>
      <c r="E51" s="413"/>
      <c r="F51" s="414"/>
      <c r="G51" s="68"/>
      <c r="H51" s="336" t="s">
        <v>640</v>
      </c>
      <c r="I51" s="337"/>
      <c r="J51" s="87">
        <v>-432.2</v>
      </c>
      <c r="K51" s="87" t="s">
        <v>602</v>
      </c>
      <c r="L51" s="164">
        <v>283.5</v>
      </c>
      <c r="M51" s="68"/>
      <c r="N51" s="137" t="s">
        <v>590</v>
      </c>
      <c r="O51" s="338">
        <f>5.38*10^-5</f>
        <v>5.3800000000000007E-5</v>
      </c>
      <c r="P51" s="339"/>
      <c r="Q51" s="68"/>
      <c r="R51" s="68"/>
    </row>
    <row r="52" spans="1:20" x14ac:dyDescent="0.25">
      <c r="A52" s="386"/>
      <c r="B52" s="47" t="s">
        <v>225</v>
      </c>
      <c r="C52" s="47">
        <v>78.962999999999994</v>
      </c>
      <c r="D52" s="412"/>
      <c r="E52" s="413"/>
      <c r="F52" s="414"/>
      <c r="G52" s="68"/>
      <c r="H52" s="336" t="s">
        <v>641</v>
      </c>
      <c r="I52" s="337"/>
      <c r="J52" s="87">
        <v>108.9</v>
      </c>
      <c r="K52" s="87">
        <v>125</v>
      </c>
      <c r="L52" s="164">
        <v>112.8</v>
      </c>
      <c r="M52" s="68"/>
      <c r="N52" s="137" t="s">
        <v>591</v>
      </c>
      <c r="O52" s="338">
        <f>8.46*10^-12</f>
        <v>8.4600000000000007E-12</v>
      </c>
      <c r="P52" s="339"/>
      <c r="Q52" s="68"/>
      <c r="R52" s="68"/>
    </row>
    <row r="53" spans="1:20" x14ac:dyDescent="0.25">
      <c r="A53" s="386"/>
      <c r="B53" s="47" t="s">
        <v>226</v>
      </c>
      <c r="C53" s="47">
        <v>79.903999999999996</v>
      </c>
      <c r="D53" s="412"/>
      <c r="E53" s="413"/>
      <c r="F53" s="414"/>
      <c r="G53" s="68"/>
      <c r="H53" s="336" t="s">
        <v>642</v>
      </c>
      <c r="I53" s="337"/>
      <c r="J53" s="87">
        <v>135.1</v>
      </c>
      <c r="K53" s="87">
        <v>124.7</v>
      </c>
      <c r="L53" s="164">
        <v>201.8</v>
      </c>
      <c r="M53" s="68"/>
      <c r="N53" s="137" t="s">
        <v>574</v>
      </c>
      <c r="O53" s="338">
        <f>1.77*10^-10</f>
        <v>1.7700000000000001E-10</v>
      </c>
      <c r="P53" s="339"/>
      <c r="Q53" s="68"/>
      <c r="R53" s="68"/>
    </row>
    <row r="54" spans="1:20" x14ac:dyDescent="0.25">
      <c r="A54" s="386"/>
      <c r="B54" s="47" t="s">
        <v>227</v>
      </c>
      <c r="C54" s="47">
        <v>83.798000000000002</v>
      </c>
      <c r="D54" s="412"/>
      <c r="E54" s="413"/>
      <c r="F54" s="414"/>
      <c r="G54" s="68"/>
      <c r="H54" s="336" t="s">
        <v>643</v>
      </c>
      <c r="I54" s="337"/>
      <c r="J54" s="87">
        <v>93.8</v>
      </c>
      <c r="K54" s="87" t="s">
        <v>602</v>
      </c>
      <c r="L54" s="164" t="s">
        <v>602</v>
      </c>
      <c r="M54" s="68"/>
      <c r="N54" s="137" t="s">
        <v>592</v>
      </c>
      <c r="O54" s="338">
        <f>1.12*10^-12</f>
        <v>1.1200000000000001E-12</v>
      </c>
      <c r="P54" s="339"/>
      <c r="Q54" s="68"/>
      <c r="R54" s="68"/>
    </row>
    <row r="55" spans="1:20" x14ac:dyDescent="0.25">
      <c r="A55" s="386"/>
      <c r="B55" s="47" t="s">
        <v>228</v>
      </c>
      <c r="C55" s="47">
        <v>85.468000000000004</v>
      </c>
      <c r="D55" s="412"/>
      <c r="E55" s="413"/>
      <c r="F55" s="414"/>
      <c r="G55" s="68"/>
      <c r="H55" s="336" t="s">
        <v>644</v>
      </c>
      <c r="I55" s="337"/>
      <c r="J55" s="87">
        <v>89</v>
      </c>
      <c r="K55" s="87">
        <v>64.599999999999994</v>
      </c>
      <c r="L55" s="164">
        <v>151.30000000000001</v>
      </c>
      <c r="M55" s="68"/>
      <c r="N55" s="137" t="s">
        <v>593</v>
      </c>
      <c r="O55" s="338">
        <f>5.6*10^-10</f>
        <v>5.6000000000000003E-10</v>
      </c>
      <c r="P55" s="339"/>
      <c r="Q55" s="68"/>
      <c r="R55" s="68"/>
    </row>
    <row r="56" spans="1:20" x14ac:dyDescent="0.25">
      <c r="A56" s="386"/>
      <c r="B56" s="47" t="s">
        <v>229</v>
      </c>
      <c r="C56" s="47">
        <v>87.62</v>
      </c>
      <c r="D56" s="412"/>
      <c r="E56" s="413"/>
      <c r="F56" s="414"/>
      <c r="G56" s="68"/>
      <c r="H56" s="336" t="s">
        <v>645</v>
      </c>
      <c r="I56" s="337"/>
      <c r="J56" s="87">
        <v>116.7</v>
      </c>
      <c r="K56" s="87">
        <v>67.099999999999994</v>
      </c>
      <c r="L56" s="164">
        <v>237.8</v>
      </c>
      <c r="M56" s="68"/>
      <c r="N56" s="137" t="s">
        <v>594</v>
      </c>
      <c r="O56" s="338">
        <f>1.46*10^-10</f>
        <v>1.4600000000000001E-10</v>
      </c>
      <c r="P56" s="339"/>
      <c r="Q56" s="68"/>
      <c r="R56" s="68"/>
    </row>
    <row r="57" spans="1:20" x14ac:dyDescent="0.25">
      <c r="A57" s="386"/>
      <c r="B57" s="47" t="s">
        <v>230</v>
      </c>
      <c r="C57" s="47">
        <v>88.906000000000006</v>
      </c>
      <c r="D57" s="412"/>
      <c r="E57" s="413"/>
      <c r="F57" s="414"/>
      <c r="G57" s="68"/>
      <c r="H57" s="353" t="s">
        <v>646</v>
      </c>
      <c r="I57" s="354"/>
      <c r="J57" s="354"/>
      <c r="K57" s="354"/>
      <c r="L57" s="355"/>
      <c r="M57" s="68"/>
      <c r="N57" s="137" t="s">
        <v>595</v>
      </c>
      <c r="O57" s="338">
        <f>3*10^-17</f>
        <v>3.0000000000000001E-17</v>
      </c>
      <c r="P57" s="339"/>
      <c r="Q57" s="68"/>
      <c r="R57" s="68"/>
    </row>
    <row r="58" spans="1:20" x14ac:dyDescent="0.25">
      <c r="A58" s="386"/>
      <c r="B58" s="47" t="s">
        <v>231</v>
      </c>
      <c r="C58" s="47">
        <v>91.222399999999993</v>
      </c>
      <c r="D58" s="412"/>
      <c r="E58" s="413"/>
      <c r="F58" s="414"/>
      <c r="G58" s="68"/>
      <c r="H58" s="336" t="s">
        <v>647</v>
      </c>
      <c r="I58" s="337"/>
      <c r="J58" s="87">
        <v>0</v>
      </c>
      <c r="K58" s="87">
        <v>0</v>
      </c>
      <c r="L58" s="164">
        <v>223.1</v>
      </c>
      <c r="M58" s="68"/>
      <c r="N58" s="137" t="s">
        <v>578</v>
      </c>
      <c r="O58" s="338">
        <f>5.35*10^-13</f>
        <v>5.3499999999999994E-13</v>
      </c>
      <c r="P58" s="339"/>
      <c r="Q58" s="68"/>
      <c r="R58" s="68"/>
    </row>
    <row r="59" spans="1:20" ht="15.75" thickBot="1" x14ac:dyDescent="0.3">
      <c r="A59" s="386"/>
      <c r="B59" s="47" t="s">
        <v>232</v>
      </c>
      <c r="C59" s="47">
        <v>92.906000000000006</v>
      </c>
      <c r="D59" s="412"/>
      <c r="E59" s="413"/>
      <c r="F59" s="414"/>
      <c r="G59" s="68"/>
      <c r="H59" s="336" t="s">
        <v>648</v>
      </c>
      <c r="I59" s="337"/>
      <c r="J59" s="87" t="s">
        <v>602</v>
      </c>
      <c r="K59" s="87">
        <v>-131.19999999999999</v>
      </c>
      <c r="L59" s="164" t="s">
        <v>602</v>
      </c>
      <c r="M59" s="68"/>
      <c r="N59" s="133" t="s">
        <v>579</v>
      </c>
      <c r="O59" s="437">
        <f>1.77*10^-10</f>
        <v>1.7700000000000001E-10</v>
      </c>
      <c r="P59" s="438"/>
      <c r="Q59" s="68"/>
      <c r="R59" s="68"/>
    </row>
    <row r="60" spans="1:20" ht="15.75" thickBot="1" x14ac:dyDescent="0.3">
      <c r="A60" s="386"/>
      <c r="B60" s="47" t="s">
        <v>233</v>
      </c>
      <c r="C60" s="47">
        <v>95.96</v>
      </c>
      <c r="D60" s="412"/>
      <c r="E60" s="413"/>
      <c r="F60" s="414"/>
      <c r="G60" s="68"/>
      <c r="H60" s="336" t="s">
        <v>649</v>
      </c>
      <c r="I60" s="337"/>
      <c r="J60" s="87">
        <v>-167</v>
      </c>
      <c r="K60" s="87" t="s">
        <v>602</v>
      </c>
      <c r="L60" s="164" t="s">
        <v>602</v>
      </c>
      <c r="M60" s="68"/>
      <c r="Q60" s="68"/>
      <c r="R60" s="68"/>
    </row>
    <row r="61" spans="1:20" ht="15.75" thickBot="1" x14ac:dyDescent="0.3">
      <c r="A61" s="386"/>
      <c r="B61" s="47" t="s">
        <v>234</v>
      </c>
      <c r="C61" s="47">
        <v>97.91</v>
      </c>
      <c r="D61" s="412"/>
      <c r="E61" s="413"/>
      <c r="F61" s="414"/>
      <c r="G61" s="68"/>
      <c r="H61" s="336" t="s">
        <v>650</v>
      </c>
      <c r="I61" s="337"/>
      <c r="J61" s="87">
        <v>-92.3</v>
      </c>
      <c r="K61" s="87">
        <v>-95.3</v>
      </c>
      <c r="L61" s="164">
        <v>186.9</v>
      </c>
      <c r="M61" s="68"/>
      <c r="N61" s="388" t="s">
        <v>1130</v>
      </c>
      <c r="O61" s="389"/>
      <c r="P61" s="389"/>
      <c r="Q61" s="389"/>
      <c r="R61" s="389"/>
      <c r="S61" s="389"/>
      <c r="T61" s="390"/>
    </row>
    <row r="62" spans="1:20" x14ac:dyDescent="0.25">
      <c r="A62" s="386"/>
      <c r="B62" s="47" t="s">
        <v>235</v>
      </c>
      <c r="C62" s="47">
        <v>101.07</v>
      </c>
      <c r="D62" s="412"/>
      <c r="E62" s="413"/>
      <c r="F62" s="414"/>
      <c r="G62" s="68"/>
      <c r="H62" s="348" t="s">
        <v>651</v>
      </c>
      <c r="I62" s="349"/>
      <c r="J62" s="349"/>
      <c r="K62" s="349"/>
      <c r="L62" s="350"/>
      <c r="M62" s="68"/>
      <c r="N62" s="434" t="s">
        <v>974</v>
      </c>
      <c r="O62" s="435"/>
      <c r="P62" s="435"/>
      <c r="Q62" s="435"/>
      <c r="R62" s="435"/>
      <c r="S62" s="435" t="s">
        <v>1078</v>
      </c>
      <c r="T62" s="436"/>
    </row>
    <row r="63" spans="1:20" x14ac:dyDescent="0.25">
      <c r="A63" s="386"/>
      <c r="B63" s="47" t="s">
        <v>236</v>
      </c>
      <c r="C63" s="47">
        <v>102.91</v>
      </c>
      <c r="D63" s="412"/>
      <c r="E63" s="413"/>
      <c r="F63" s="414"/>
      <c r="G63" s="68"/>
      <c r="H63" s="336" t="s">
        <v>652</v>
      </c>
      <c r="I63" s="337"/>
      <c r="J63" s="87" t="s">
        <v>602</v>
      </c>
      <c r="K63" s="87">
        <v>-727.8</v>
      </c>
      <c r="L63" s="164" t="s">
        <v>602</v>
      </c>
      <c r="M63" s="68"/>
      <c r="N63" s="439" t="s">
        <v>25</v>
      </c>
      <c r="O63" s="440"/>
      <c r="P63" s="440"/>
      <c r="Q63" s="440"/>
      <c r="R63" s="441"/>
      <c r="S63" s="442" t="str">
        <f>_xlfn.XLOOKUP("*"&amp;N63&amp;"*",N65:N111,S65:S111,"--",2)</f>
        <v> -2.077 </v>
      </c>
      <c r="T63" s="443"/>
    </row>
    <row r="64" spans="1:20" ht="15.75" thickBot="1" x14ac:dyDescent="0.3">
      <c r="A64" s="386"/>
      <c r="B64" s="47" t="s">
        <v>237</v>
      </c>
      <c r="C64" s="47">
        <v>106.42</v>
      </c>
      <c r="D64" s="412"/>
      <c r="E64" s="413"/>
      <c r="F64" s="414"/>
      <c r="G64" s="68"/>
      <c r="H64" s="348" t="s">
        <v>653</v>
      </c>
      <c r="I64" s="349"/>
      <c r="J64" s="349"/>
      <c r="K64" s="349"/>
      <c r="L64" s="350"/>
      <c r="M64" s="68"/>
      <c r="N64" s="444" t="str" cm="1">
        <f t="array" ref="N64">_xlfn.IFNA(_xlfn.XLOOKUP("*"&amp;S64&amp;"*",S65:S111,N65:N111,,2),
MIN(IF(S65:S111&gt;S64,S65:S111)))</f>
        <v>H2O2 (aq) + 2H+ (aq) + 2e− → 2H2O (l)</v>
      </c>
      <c r="O64" s="445"/>
      <c r="P64" s="445"/>
      <c r="Q64" s="445"/>
      <c r="R64" s="445"/>
      <c r="S64" s="446">
        <v>1.77</v>
      </c>
      <c r="T64" s="447"/>
    </row>
    <row r="65" spans="1:40" ht="17.25" x14ac:dyDescent="0.25">
      <c r="A65" s="386"/>
      <c r="B65" s="47" t="s">
        <v>238</v>
      </c>
      <c r="C65" s="47">
        <v>107.8682</v>
      </c>
      <c r="D65" s="412"/>
      <c r="E65" s="413"/>
      <c r="F65" s="414"/>
      <c r="G65" s="68"/>
      <c r="H65" s="336" t="s">
        <v>654</v>
      </c>
      <c r="I65" s="337"/>
      <c r="J65" s="87">
        <v>0</v>
      </c>
      <c r="K65" s="87">
        <v>0</v>
      </c>
      <c r="L65" s="164">
        <v>202.8</v>
      </c>
      <c r="M65" s="68"/>
      <c r="N65" s="448" t="s">
        <v>998</v>
      </c>
      <c r="O65" s="449"/>
      <c r="P65" s="449"/>
      <c r="Q65" s="449"/>
      <c r="R65" s="450"/>
      <c r="S65" s="451" t="s">
        <v>1049</v>
      </c>
      <c r="T65" s="452"/>
    </row>
    <row r="66" spans="1:40" ht="17.25" x14ac:dyDescent="0.25">
      <c r="A66" s="386"/>
      <c r="B66" s="47" t="s">
        <v>239</v>
      </c>
      <c r="C66" s="47">
        <v>112.411</v>
      </c>
      <c r="D66" s="412"/>
      <c r="E66" s="413"/>
      <c r="F66" s="414"/>
      <c r="G66" s="68"/>
      <c r="H66" s="336" t="s">
        <v>655</v>
      </c>
      <c r="I66" s="337"/>
      <c r="J66" s="87">
        <v>-273.3</v>
      </c>
      <c r="K66" s="87">
        <v>-275.39999999999998</v>
      </c>
      <c r="L66" s="164">
        <v>173.8</v>
      </c>
      <c r="M66" s="68"/>
      <c r="N66" s="453" t="s">
        <v>999</v>
      </c>
      <c r="O66" s="454"/>
      <c r="P66" s="454"/>
      <c r="Q66" s="454"/>
      <c r="R66" s="454"/>
      <c r="S66" s="454" t="s">
        <v>1059</v>
      </c>
      <c r="T66" s="455"/>
    </row>
    <row r="67" spans="1:40" ht="17.25" x14ac:dyDescent="0.25">
      <c r="A67" s="386"/>
      <c r="B67" s="47" t="s">
        <v>240</v>
      </c>
      <c r="C67" s="47">
        <v>114.82</v>
      </c>
      <c r="D67" s="412"/>
      <c r="E67" s="413"/>
      <c r="F67" s="414"/>
      <c r="G67" s="68"/>
      <c r="H67" s="348" t="s">
        <v>656</v>
      </c>
      <c r="I67" s="349"/>
      <c r="J67" s="349"/>
      <c r="K67" s="349"/>
      <c r="L67" s="350"/>
      <c r="M67" s="68"/>
      <c r="N67" s="453" t="s">
        <v>1000</v>
      </c>
      <c r="O67" s="454"/>
      <c r="P67" s="454"/>
      <c r="Q67" s="454"/>
      <c r="R67" s="454"/>
      <c r="S67" s="454" t="s">
        <v>1050</v>
      </c>
      <c r="T67" s="455"/>
    </row>
    <row r="68" spans="1:40" ht="17.25" x14ac:dyDescent="0.25">
      <c r="A68" s="386"/>
      <c r="B68" s="47" t="s">
        <v>241</v>
      </c>
      <c r="C68" s="47">
        <v>118.71</v>
      </c>
      <c r="D68" s="412"/>
      <c r="E68" s="413"/>
      <c r="F68" s="414"/>
      <c r="G68" s="68"/>
      <c r="H68" s="336" t="s">
        <v>657</v>
      </c>
      <c r="I68" s="337"/>
      <c r="J68" s="87">
        <v>0</v>
      </c>
      <c r="K68" s="87">
        <v>0</v>
      </c>
      <c r="L68" s="164">
        <v>130.69999999999999</v>
      </c>
      <c r="M68" s="68"/>
      <c r="N68" s="453" t="s">
        <v>1001</v>
      </c>
      <c r="O68" s="454"/>
      <c r="P68" s="454"/>
      <c r="Q68" s="454"/>
      <c r="R68" s="454"/>
      <c r="S68" s="454" t="s">
        <v>1051</v>
      </c>
      <c r="T68" s="455"/>
    </row>
    <row r="69" spans="1:40" ht="17.25" x14ac:dyDescent="0.25">
      <c r="A69" s="386"/>
      <c r="B69" s="47" t="s">
        <v>242</v>
      </c>
      <c r="C69" s="47">
        <v>121.76</v>
      </c>
      <c r="D69" s="412"/>
      <c r="E69" s="413"/>
      <c r="F69" s="414"/>
      <c r="G69" s="68"/>
      <c r="H69" s="336" t="s">
        <v>658</v>
      </c>
      <c r="I69" s="337"/>
      <c r="J69" s="87"/>
      <c r="K69" s="87"/>
      <c r="L69" s="164"/>
      <c r="M69" s="68"/>
      <c r="N69" s="453" t="s">
        <v>1002</v>
      </c>
      <c r="O69" s="454"/>
      <c r="P69" s="454"/>
      <c r="Q69" s="454"/>
      <c r="R69" s="454"/>
      <c r="S69" s="454" t="s">
        <v>1056</v>
      </c>
      <c r="T69" s="455"/>
    </row>
    <row r="70" spans="1:40" ht="18" x14ac:dyDescent="0.25">
      <c r="A70" s="386"/>
      <c r="B70" s="47" t="s">
        <v>243</v>
      </c>
      <c r="C70" s="47">
        <v>127.6</v>
      </c>
      <c r="D70" s="412"/>
      <c r="E70" s="413"/>
      <c r="F70" s="414"/>
      <c r="G70" s="68"/>
      <c r="H70" s="336" t="s">
        <v>659</v>
      </c>
      <c r="I70" s="337"/>
      <c r="J70" s="87">
        <v>0</v>
      </c>
      <c r="K70" s="87">
        <v>0</v>
      </c>
      <c r="L70" s="164">
        <v>27.3</v>
      </c>
      <c r="M70" s="68"/>
      <c r="N70" s="453" t="s">
        <v>1003</v>
      </c>
      <c r="O70" s="454"/>
      <c r="P70" s="454"/>
      <c r="Q70" s="454"/>
      <c r="R70" s="454"/>
      <c r="S70" s="454" t="s">
        <v>975</v>
      </c>
      <c r="T70" s="455"/>
    </row>
    <row r="71" spans="1:40" ht="17.25" x14ac:dyDescent="0.25">
      <c r="A71" s="386"/>
      <c r="B71" s="47" t="s">
        <v>244</v>
      </c>
      <c r="C71" s="47">
        <v>126.90447</v>
      </c>
      <c r="D71" s="412"/>
      <c r="E71" s="413"/>
      <c r="F71" s="414"/>
      <c r="G71" s="68"/>
      <c r="H71" s="336" t="s">
        <v>660</v>
      </c>
      <c r="I71" s="337"/>
      <c r="J71" s="87">
        <v>-399.5</v>
      </c>
      <c r="K71" s="87">
        <v>-334</v>
      </c>
      <c r="L71" s="164">
        <v>142.30000000000001</v>
      </c>
      <c r="M71" s="68"/>
      <c r="N71" s="453" t="s">
        <v>1004</v>
      </c>
      <c r="O71" s="454"/>
      <c r="P71" s="454"/>
      <c r="Q71" s="454"/>
      <c r="R71" s="454"/>
      <c r="S71" s="454" t="s">
        <v>1057</v>
      </c>
      <c r="T71" s="455"/>
    </row>
    <row r="72" spans="1:40" ht="18.75" thickBot="1" x14ac:dyDescent="0.3">
      <c r="A72" s="386"/>
      <c r="B72" s="47" t="s">
        <v>245</v>
      </c>
      <c r="C72" s="47">
        <v>131.29</v>
      </c>
      <c r="D72" s="412"/>
      <c r="E72" s="413"/>
      <c r="F72" s="414"/>
      <c r="G72" s="68"/>
      <c r="H72" s="336" t="s">
        <v>661</v>
      </c>
      <c r="I72" s="337"/>
      <c r="J72" s="87">
        <v>-824.2</v>
      </c>
      <c r="K72" s="87">
        <v>-742.2</v>
      </c>
      <c r="L72" s="164">
        <v>87.4</v>
      </c>
      <c r="M72" s="68"/>
      <c r="N72" s="453" t="s">
        <v>1005</v>
      </c>
      <c r="O72" s="454"/>
      <c r="P72" s="454"/>
      <c r="Q72" s="454"/>
      <c r="R72" s="454"/>
      <c r="S72" s="454" t="s">
        <v>976</v>
      </c>
      <c r="T72" s="455"/>
    </row>
    <row r="73" spans="1:40" ht="18" thickBot="1" x14ac:dyDescent="0.3">
      <c r="A73" s="386"/>
      <c r="B73" s="47" t="s">
        <v>246</v>
      </c>
      <c r="C73" s="47">
        <v>132.9054519</v>
      </c>
      <c r="D73" s="412"/>
      <c r="E73" s="413"/>
      <c r="F73" s="414"/>
      <c r="G73" s="68"/>
      <c r="H73" s="353" t="s">
        <v>662</v>
      </c>
      <c r="I73" s="354"/>
      <c r="J73" s="354"/>
      <c r="K73" s="354"/>
      <c r="L73" s="355"/>
      <c r="M73" s="68"/>
      <c r="N73" s="453" t="s">
        <v>1006</v>
      </c>
      <c r="O73" s="454"/>
      <c r="P73" s="454"/>
      <c r="Q73" s="454"/>
      <c r="R73" s="454"/>
      <c r="S73" s="454" t="s">
        <v>1058</v>
      </c>
      <c r="T73" s="455"/>
      <c r="V73" s="388" t="s">
        <v>785</v>
      </c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90"/>
    </row>
    <row r="74" spans="1:40" ht="17.25" x14ac:dyDescent="0.25">
      <c r="A74" s="386"/>
      <c r="B74" s="47" t="s">
        <v>247</v>
      </c>
      <c r="C74" s="47">
        <v>137.33000000000001</v>
      </c>
      <c r="D74" s="412"/>
      <c r="E74" s="413"/>
      <c r="F74" s="414"/>
      <c r="G74" s="68"/>
      <c r="H74" s="336" t="s">
        <v>663</v>
      </c>
      <c r="I74" s="337"/>
      <c r="J74" s="87" t="s">
        <v>602</v>
      </c>
      <c r="K74" s="87">
        <v>-24.4</v>
      </c>
      <c r="L74" s="164" t="s">
        <v>602</v>
      </c>
      <c r="M74" s="68"/>
      <c r="N74" s="453" t="s">
        <v>1007</v>
      </c>
      <c r="O74" s="454"/>
      <c r="P74" s="454"/>
      <c r="Q74" s="454"/>
      <c r="R74" s="454"/>
      <c r="S74" s="454" t="s">
        <v>977</v>
      </c>
      <c r="T74" s="455"/>
      <c r="V74" s="472"/>
      <c r="W74" s="473"/>
      <c r="X74" s="476" t="s">
        <v>761</v>
      </c>
      <c r="Y74" s="476"/>
      <c r="Z74" s="476"/>
      <c r="AA74" s="476"/>
      <c r="AB74" s="476"/>
      <c r="AC74" s="476"/>
      <c r="AD74" s="476"/>
      <c r="AE74" s="476"/>
      <c r="AF74" s="476"/>
      <c r="AG74" s="476"/>
      <c r="AH74" s="477"/>
    </row>
    <row r="75" spans="1:40" ht="17.25" x14ac:dyDescent="0.25">
      <c r="A75" s="386"/>
      <c r="B75" s="47" t="s">
        <v>248</v>
      </c>
      <c r="C75" s="47">
        <v>138.91</v>
      </c>
      <c r="D75" s="412"/>
      <c r="E75" s="413"/>
      <c r="F75" s="414"/>
      <c r="G75" s="68"/>
      <c r="H75" s="336" t="s">
        <v>664</v>
      </c>
      <c r="I75" s="337"/>
      <c r="J75" s="87">
        <v>-278.7</v>
      </c>
      <c r="K75" s="87">
        <v>-261.89999999999998</v>
      </c>
      <c r="L75" s="164">
        <v>161.5</v>
      </c>
      <c r="M75" s="68"/>
      <c r="N75" s="453" t="s">
        <v>1008</v>
      </c>
      <c r="O75" s="454"/>
      <c r="P75" s="454"/>
      <c r="Q75" s="454"/>
      <c r="R75" s="454"/>
      <c r="S75" s="454" t="s">
        <v>1062</v>
      </c>
      <c r="T75" s="455"/>
      <c r="V75" s="474"/>
      <c r="W75" s="475"/>
      <c r="X75" s="198" t="s">
        <v>762</v>
      </c>
      <c r="Y75" s="198" t="s">
        <v>763</v>
      </c>
      <c r="Z75" s="198" t="s">
        <v>764</v>
      </c>
      <c r="AA75" s="198" t="s">
        <v>765</v>
      </c>
      <c r="AB75" s="198" t="s">
        <v>766</v>
      </c>
      <c r="AC75" s="198" t="s">
        <v>767</v>
      </c>
      <c r="AD75" s="198" t="s">
        <v>768</v>
      </c>
      <c r="AE75" s="198" t="s">
        <v>769</v>
      </c>
      <c r="AF75" s="198" t="s">
        <v>770</v>
      </c>
      <c r="AG75" s="198" t="s">
        <v>771</v>
      </c>
      <c r="AH75" s="199" t="s">
        <v>772</v>
      </c>
    </row>
    <row r="76" spans="1:40" ht="18" x14ac:dyDescent="0.25">
      <c r="A76" s="386"/>
      <c r="B76" s="47" t="s">
        <v>249</v>
      </c>
      <c r="C76" s="47">
        <v>140.12</v>
      </c>
      <c r="D76" s="412"/>
      <c r="E76" s="413"/>
      <c r="F76" s="414"/>
      <c r="G76" s="68"/>
      <c r="H76" s="336" t="s">
        <v>665</v>
      </c>
      <c r="I76" s="337"/>
      <c r="J76" s="87">
        <v>-100.4</v>
      </c>
      <c r="K76" s="87">
        <v>-98.7</v>
      </c>
      <c r="L76" s="164">
        <v>91.2</v>
      </c>
      <c r="M76" s="68"/>
      <c r="N76" s="453" t="s">
        <v>1009</v>
      </c>
      <c r="O76" s="454"/>
      <c r="P76" s="454"/>
      <c r="Q76" s="454"/>
      <c r="R76" s="454"/>
      <c r="S76" s="454" t="s">
        <v>1063</v>
      </c>
      <c r="T76" s="455"/>
      <c r="V76" s="474"/>
      <c r="W76" s="475"/>
      <c r="X76" s="253" t="s">
        <v>792</v>
      </c>
      <c r="Y76" s="253" t="s">
        <v>793</v>
      </c>
      <c r="Z76" s="253" t="s">
        <v>794</v>
      </c>
      <c r="AA76" s="253" t="s">
        <v>900</v>
      </c>
      <c r="AB76" s="253" t="s">
        <v>901</v>
      </c>
      <c r="AC76" s="253" t="s">
        <v>795</v>
      </c>
      <c r="AD76" s="253" t="s">
        <v>835</v>
      </c>
      <c r="AE76" s="253" t="s">
        <v>796</v>
      </c>
      <c r="AF76" s="253" t="s">
        <v>797</v>
      </c>
      <c r="AG76" s="253" t="s">
        <v>798</v>
      </c>
      <c r="AH76" s="256" t="s">
        <v>799</v>
      </c>
      <c r="AN76" s="27"/>
    </row>
    <row r="77" spans="1:40" ht="18" x14ac:dyDescent="0.25">
      <c r="A77" s="386"/>
      <c r="B77" s="47" t="s">
        <v>250</v>
      </c>
      <c r="C77" s="47">
        <v>140.91</v>
      </c>
      <c r="D77" s="412"/>
      <c r="E77" s="413"/>
      <c r="F77" s="414"/>
      <c r="G77" s="68"/>
      <c r="H77" s="336" t="s">
        <v>666</v>
      </c>
      <c r="I77" s="337"/>
      <c r="J77" s="87">
        <v>-920</v>
      </c>
      <c r="K77" s="87">
        <v>-813</v>
      </c>
      <c r="L77" s="164">
        <v>148.5</v>
      </c>
      <c r="M77" s="68"/>
      <c r="N77" s="453" t="s">
        <v>1010</v>
      </c>
      <c r="O77" s="454"/>
      <c r="P77" s="454"/>
      <c r="Q77" s="454"/>
      <c r="R77" s="454"/>
      <c r="S77" s="454" t="s">
        <v>1060</v>
      </c>
      <c r="T77" s="455"/>
      <c r="V77" s="459" t="s">
        <v>773</v>
      </c>
      <c r="W77" s="253" t="s">
        <v>786</v>
      </c>
      <c r="X77" s="185" t="s">
        <v>774</v>
      </c>
      <c r="Y77" s="185" t="s">
        <v>774</v>
      </c>
      <c r="Z77" s="185" t="s">
        <v>774</v>
      </c>
      <c r="AA77" s="253" t="s">
        <v>775</v>
      </c>
      <c r="AB77" s="185" t="s">
        <v>774</v>
      </c>
      <c r="AC77" s="185" t="s">
        <v>774</v>
      </c>
      <c r="AD77" s="185" t="s">
        <v>774</v>
      </c>
      <c r="AE77" s="185" t="s">
        <v>774</v>
      </c>
      <c r="AF77" s="185" t="s">
        <v>774</v>
      </c>
      <c r="AG77" s="185" t="s">
        <v>774</v>
      </c>
      <c r="AH77" s="193" t="s">
        <v>774</v>
      </c>
    </row>
    <row r="78" spans="1:40" ht="18" x14ac:dyDescent="0.25">
      <c r="A78" s="386"/>
      <c r="B78" s="47" t="s">
        <v>251</v>
      </c>
      <c r="C78" s="47">
        <v>144.24</v>
      </c>
      <c r="D78" s="412"/>
      <c r="E78" s="413"/>
      <c r="F78" s="414"/>
      <c r="G78" s="68"/>
      <c r="H78" s="353" t="s">
        <v>667</v>
      </c>
      <c r="I78" s="354"/>
      <c r="J78" s="354"/>
      <c r="K78" s="354"/>
      <c r="L78" s="355"/>
      <c r="M78" s="68"/>
      <c r="N78" s="453" t="s">
        <v>1011</v>
      </c>
      <c r="O78" s="454"/>
      <c r="P78" s="454"/>
      <c r="Q78" s="454"/>
      <c r="R78" s="454"/>
      <c r="S78" s="454" t="s">
        <v>1064</v>
      </c>
      <c r="T78" s="455"/>
      <c r="V78" s="459"/>
      <c r="W78" s="253" t="s">
        <v>787</v>
      </c>
      <c r="X78" s="185" t="s">
        <v>774</v>
      </c>
      <c r="Y78" s="185" t="s">
        <v>774</v>
      </c>
      <c r="Z78" s="185" t="s">
        <v>774</v>
      </c>
      <c r="AA78" s="186" t="s">
        <v>777</v>
      </c>
      <c r="AB78" s="185" t="s">
        <v>774</v>
      </c>
      <c r="AC78" s="185" t="s">
        <v>774</v>
      </c>
      <c r="AD78" s="185" t="s">
        <v>774</v>
      </c>
      <c r="AE78" s="185" t="s">
        <v>774</v>
      </c>
      <c r="AF78" s="185" t="s">
        <v>774</v>
      </c>
      <c r="AG78" s="185" t="s">
        <v>774</v>
      </c>
      <c r="AH78" s="193" t="s">
        <v>774</v>
      </c>
    </row>
    <row r="79" spans="1:40" ht="17.25" x14ac:dyDescent="0.25">
      <c r="A79" s="386"/>
      <c r="B79" s="47" t="s">
        <v>252</v>
      </c>
      <c r="C79" s="47"/>
      <c r="D79" s="412"/>
      <c r="E79" s="413"/>
      <c r="F79" s="414"/>
      <c r="G79" s="68"/>
      <c r="H79" s="336" t="s">
        <v>668</v>
      </c>
      <c r="I79" s="337"/>
      <c r="J79" s="87">
        <v>-641.29999999999995</v>
      </c>
      <c r="K79" s="87">
        <v>-591.79999999999995</v>
      </c>
      <c r="L79" s="164">
        <v>89.6</v>
      </c>
      <c r="M79" s="68"/>
      <c r="N79" s="453" t="s">
        <v>1012</v>
      </c>
      <c r="O79" s="454"/>
      <c r="P79" s="454"/>
      <c r="Q79" s="454"/>
      <c r="R79" s="454"/>
      <c r="S79" s="454" t="s">
        <v>978</v>
      </c>
      <c r="T79" s="455"/>
      <c r="V79" s="459"/>
      <c r="W79" s="253" t="s">
        <v>788</v>
      </c>
      <c r="X79" s="185" t="s">
        <v>774</v>
      </c>
      <c r="Y79" s="185" t="s">
        <v>774</v>
      </c>
      <c r="Z79" s="185" t="s">
        <v>774</v>
      </c>
      <c r="AA79" s="186" t="s">
        <v>777</v>
      </c>
      <c r="AB79" s="185" t="s">
        <v>774</v>
      </c>
      <c r="AC79" s="185" t="s">
        <v>774</v>
      </c>
      <c r="AD79" s="185" t="s">
        <v>774</v>
      </c>
      <c r="AE79" s="185" t="s">
        <v>774</v>
      </c>
      <c r="AF79" s="185" t="s">
        <v>774</v>
      </c>
      <c r="AG79" s="185" t="s">
        <v>774</v>
      </c>
      <c r="AH79" s="193" t="s">
        <v>774</v>
      </c>
    </row>
    <row r="80" spans="1:40" ht="17.25" x14ac:dyDescent="0.25">
      <c r="A80" s="386"/>
      <c r="B80" s="47" t="s">
        <v>253</v>
      </c>
      <c r="C80" s="47">
        <v>150.36000000000001</v>
      </c>
      <c r="D80" s="412"/>
      <c r="E80" s="413"/>
      <c r="F80" s="414"/>
      <c r="G80" s="68"/>
      <c r="H80" s="336" t="s">
        <v>669</v>
      </c>
      <c r="I80" s="337"/>
      <c r="J80" s="87">
        <v>-601.6</v>
      </c>
      <c r="K80" s="87">
        <v>-569.29999999999995</v>
      </c>
      <c r="L80" s="164">
        <v>27</v>
      </c>
      <c r="M80" s="68"/>
      <c r="N80" s="453" t="s">
        <v>1013</v>
      </c>
      <c r="O80" s="454"/>
      <c r="P80" s="454"/>
      <c r="Q80" s="454"/>
      <c r="R80" s="454"/>
      <c r="S80" s="454" t="s">
        <v>979</v>
      </c>
      <c r="T80" s="455"/>
      <c r="V80" s="459"/>
      <c r="W80" s="253" t="s">
        <v>817</v>
      </c>
      <c r="X80" s="185" t="s">
        <v>774</v>
      </c>
      <c r="Y80" s="185" t="s">
        <v>774</v>
      </c>
      <c r="Z80" s="185" t="s">
        <v>774</v>
      </c>
      <c r="AA80" s="187" t="s">
        <v>750</v>
      </c>
      <c r="AB80" s="186" t="s">
        <v>777</v>
      </c>
      <c r="AC80" s="187" t="s">
        <v>750</v>
      </c>
      <c r="AD80" s="188" t="s">
        <v>778</v>
      </c>
      <c r="AE80" s="253" t="s">
        <v>775</v>
      </c>
      <c r="AF80" s="185" t="s">
        <v>774</v>
      </c>
      <c r="AG80" s="185" t="s">
        <v>774</v>
      </c>
      <c r="AH80" s="193" t="s">
        <v>774</v>
      </c>
    </row>
    <row r="81" spans="1:34" ht="17.25" x14ac:dyDescent="0.25">
      <c r="A81" s="386"/>
      <c r="B81" s="47" t="s">
        <v>254</v>
      </c>
      <c r="C81" s="47">
        <v>151.96</v>
      </c>
      <c r="D81" s="412"/>
      <c r="E81" s="413"/>
      <c r="F81" s="414"/>
      <c r="G81" s="68"/>
      <c r="H81" s="353" t="s">
        <v>670</v>
      </c>
      <c r="I81" s="354"/>
      <c r="J81" s="354"/>
      <c r="K81" s="354"/>
      <c r="L81" s="355"/>
      <c r="M81" s="68"/>
      <c r="N81" s="453" t="s">
        <v>1014</v>
      </c>
      <c r="O81" s="454"/>
      <c r="P81" s="454"/>
      <c r="Q81" s="454"/>
      <c r="R81" s="454"/>
      <c r="S81" s="454" t="s">
        <v>980</v>
      </c>
      <c r="T81" s="455"/>
      <c r="V81" s="459"/>
      <c r="W81" s="253" t="s">
        <v>818</v>
      </c>
      <c r="X81" s="185" t="s">
        <v>774</v>
      </c>
      <c r="Y81" s="185" t="s">
        <v>774</v>
      </c>
      <c r="Z81" s="185" t="s">
        <v>774</v>
      </c>
      <c r="AA81" s="186" t="s">
        <v>777</v>
      </c>
      <c r="AB81" s="186" t="s">
        <v>777</v>
      </c>
      <c r="AC81" s="188" t="s">
        <v>778</v>
      </c>
      <c r="AD81" s="187" t="s">
        <v>750</v>
      </c>
      <c r="AE81" s="188" t="s">
        <v>778</v>
      </c>
      <c r="AF81" s="188" t="s">
        <v>778</v>
      </c>
      <c r="AG81" s="185" t="s">
        <v>774</v>
      </c>
      <c r="AH81" s="193" t="s">
        <v>774</v>
      </c>
    </row>
    <row r="82" spans="1:34" ht="18" x14ac:dyDescent="0.25">
      <c r="A82" s="386"/>
      <c r="B82" s="47" t="s">
        <v>255</v>
      </c>
      <c r="C82" s="47">
        <v>157.25</v>
      </c>
      <c r="D82" s="412"/>
      <c r="E82" s="413"/>
      <c r="F82" s="414"/>
      <c r="G82" s="68"/>
      <c r="H82" s="336" t="s">
        <v>671</v>
      </c>
      <c r="I82" s="337"/>
      <c r="J82" s="87">
        <v>61.4</v>
      </c>
      <c r="K82" s="87">
        <v>31.8</v>
      </c>
      <c r="L82" s="164">
        <v>175</v>
      </c>
      <c r="M82" s="68"/>
      <c r="N82" s="453" t="s">
        <v>1015</v>
      </c>
      <c r="O82" s="454"/>
      <c r="P82" s="454"/>
      <c r="Q82" s="454"/>
      <c r="R82" s="454"/>
      <c r="S82" s="454" t="s">
        <v>981</v>
      </c>
      <c r="T82" s="455"/>
      <c r="V82" s="459"/>
      <c r="W82" s="253" t="s">
        <v>819</v>
      </c>
      <c r="X82" s="185" t="s">
        <v>774</v>
      </c>
      <c r="Y82" s="185" t="s">
        <v>774</v>
      </c>
      <c r="Z82" s="185" t="s">
        <v>774</v>
      </c>
      <c r="AA82" s="185" t="s">
        <v>774</v>
      </c>
      <c r="AB82" s="185" t="s">
        <v>774</v>
      </c>
      <c r="AC82" s="185" t="s">
        <v>774</v>
      </c>
      <c r="AD82" s="187" t="s">
        <v>750</v>
      </c>
      <c r="AE82" s="187" t="s">
        <v>750</v>
      </c>
      <c r="AF82" s="187" t="s">
        <v>750</v>
      </c>
      <c r="AG82" s="185" t="s">
        <v>774</v>
      </c>
      <c r="AH82" s="193" t="s">
        <v>774</v>
      </c>
    </row>
    <row r="83" spans="1:34" ht="17.25" x14ac:dyDescent="0.25">
      <c r="A83" s="386"/>
      <c r="B83" s="47" t="s">
        <v>256</v>
      </c>
      <c r="C83" s="47">
        <v>158.93</v>
      </c>
      <c r="D83" s="412"/>
      <c r="E83" s="413"/>
      <c r="F83" s="414"/>
      <c r="G83" s="68"/>
      <c r="H83" s="336" t="s">
        <v>672</v>
      </c>
      <c r="I83" s="337"/>
      <c r="J83" s="87">
        <v>0</v>
      </c>
      <c r="K83" s="87">
        <v>0</v>
      </c>
      <c r="L83" s="164">
        <v>75.900000000000006</v>
      </c>
      <c r="M83" s="68"/>
      <c r="N83" s="453" t="s">
        <v>1016</v>
      </c>
      <c r="O83" s="454"/>
      <c r="P83" s="454"/>
      <c r="Q83" s="454"/>
      <c r="R83" s="454"/>
      <c r="S83" s="454" t="s">
        <v>1065</v>
      </c>
      <c r="T83" s="455"/>
      <c r="V83" s="459"/>
      <c r="W83" s="253" t="s">
        <v>820</v>
      </c>
      <c r="X83" s="185" t="s">
        <v>774</v>
      </c>
      <c r="Y83" s="185" t="s">
        <v>774</v>
      </c>
      <c r="Z83" s="185" t="s">
        <v>774</v>
      </c>
      <c r="AA83" s="187" t="s">
        <v>750</v>
      </c>
      <c r="AB83" s="187" t="s">
        <v>750</v>
      </c>
      <c r="AC83" s="187" t="s">
        <v>750</v>
      </c>
      <c r="AD83" s="187" t="s">
        <v>750</v>
      </c>
      <c r="AE83" s="253" t="s">
        <v>775</v>
      </c>
      <c r="AF83" s="185" t="s">
        <v>774</v>
      </c>
      <c r="AG83" s="185" t="s">
        <v>774</v>
      </c>
      <c r="AH83" s="193" t="s">
        <v>774</v>
      </c>
    </row>
    <row r="84" spans="1:34" ht="17.25" x14ac:dyDescent="0.25">
      <c r="A84" s="386"/>
      <c r="B84" s="47" t="s">
        <v>257</v>
      </c>
      <c r="C84" s="47">
        <v>162.5</v>
      </c>
      <c r="D84" s="412"/>
      <c r="E84" s="413"/>
      <c r="F84" s="414"/>
      <c r="G84" s="68"/>
      <c r="H84" s="336" t="s">
        <v>673</v>
      </c>
      <c r="I84" s="337"/>
      <c r="J84" s="87">
        <v>-2.29</v>
      </c>
      <c r="K84" s="87" t="s">
        <v>602</v>
      </c>
      <c r="L84" s="164" t="s">
        <v>602</v>
      </c>
      <c r="M84" s="68"/>
      <c r="N84" s="453" t="s">
        <v>1017</v>
      </c>
      <c r="O84" s="454"/>
      <c r="P84" s="454"/>
      <c r="Q84" s="454"/>
      <c r="R84" s="454"/>
      <c r="S84" s="454" t="s">
        <v>982</v>
      </c>
      <c r="T84" s="455"/>
      <c r="V84" s="459"/>
      <c r="W84" s="253" t="s">
        <v>821</v>
      </c>
      <c r="X84" s="185" t="s">
        <v>774</v>
      </c>
      <c r="Y84" s="185" t="s">
        <v>774</v>
      </c>
      <c r="Z84" s="185" t="s">
        <v>774</v>
      </c>
      <c r="AA84" s="187" t="s">
        <v>750</v>
      </c>
      <c r="AB84" s="187" t="s">
        <v>750</v>
      </c>
      <c r="AC84" s="187" t="s">
        <v>750</v>
      </c>
      <c r="AD84" s="187" t="s">
        <v>750</v>
      </c>
      <c r="AE84" s="253" t="s">
        <v>775</v>
      </c>
      <c r="AF84" s="185" t="s">
        <v>774</v>
      </c>
      <c r="AG84" s="185" t="s">
        <v>774</v>
      </c>
      <c r="AH84" s="193" t="s">
        <v>774</v>
      </c>
    </row>
    <row r="85" spans="1:34" ht="17.25" x14ac:dyDescent="0.25">
      <c r="A85" s="386"/>
      <c r="B85" s="47" t="s">
        <v>258</v>
      </c>
      <c r="C85" s="47">
        <v>164.93</v>
      </c>
      <c r="D85" s="412"/>
      <c r="E85" s="413"/>
      <c r="F85" s="414"/>
      <c r="G85" s="68"/>
      <c r="H85" s="336" t="s">
        <v>674</v>
      </c>
      <c r="I85" s="337"/>
      <c r="J85" s="87" t="s">
        <v>602</v>
      </c>
      <c r="K85" s="87">
        <v>153.5</v>
      </c>
      <c r="L85" s="164" t="s">
        <v>602</v>
      </c>
      <c r="M85" s="68"/>
      <c r="N85" s="453" t="s">
        <v>1018</v>
      </c>
      <c r="O85" s="454"/>
      <c r="P85" s="454"/>
      <c r="Q85" s="454"/>
      <c r="R85" s="454"/>
      <c r="S85" s="454" t="s">
        <v>1066</v>
      </c>
      <c r="T85" s="455"/>
      <c r="V85" s="459"/>
      <c r="W85" s="253" t="s">
        <v>822</v>
      </c>
      <c r="X85" s="185" t="s">
        <v>774</v>
      </c>
      <c r="Y85" s="185" t="s">
        <v>774</v>
      </c>
      <c r="Z85" s="253" t="s">
        <v>775</v>
      </c>
      <c r="AA85" s="187" t="s">
        <v>750</v>
      </c>
      <c r="AB85" s="253" t="s">
        <v>775</v>
      </c>
      <c r="AC85" s="187" t="s">
        <v>750</v>
      </c>
      <c r="AD85" s="253" t="s">
        <v>775</v>
      </c>
      <c r="AE85" s="187" t="s">
        <v>750</v>
      </c>
      <c r="AF85" s="185" t="s">
        <v>774</v>
      </c>
      <c r="AG85" s="187" t="s">
        <v>750</v>
      </c>
      <c r="AH85" s="193" t="s">
        <v>774</v>
      </c>
    </row>
    <row r="86" spans="1:34" ht="18" x14ac:dyDescent="0.25">
      <c r="A86" s="386"/>
      <c r="B86" s="47" t="s">
        <v>259</v>
      </c>
      <c r="C86" s="47">
        <v>167.26</v>
      </c>
      <c r="D86" s="412"/>
      <c r="E86" s="413"/>
      <c r="F86" s="414"/>
      <c r="G86" s="68"/>
      <c r="H86" s="336" t="s">
        <v>675</v>
      </c>
      <c r="I86" s="337"/>
      <c r="J86" s="87" t="s">
        <v>602</v>
      </c>
      <c r="K86" s="87">
        <v>-210.7</v>
      </c>
      <c r="L86" s="164" t="s">
        <v>602</v>
      </c>
      <c r="M86" s="68"/>
      <c r="N86" s="453" t="s">
        <v>1019</v>
      </c>
      <c r="O86" s="454"/>
      <c r="P86" s="454"/>
      <c r="Q86" s="454"/>
      <c r="R86" s="454"/>
      <c r="S86" s="454" t="s">
        <v>983</v>
      </c>
      <c r="T86" s="455"/>
      <c r="V86" s="459"/>
      <c r="W86" s="253" t="s">
        <v>823</v>
      </c>
      <c r="X86" s="185" t="s">
        <v>774</v>
      </c>
      <c r="Y86" s="185" t="s">
        <v>774</v>
      </c>
      <c r="Z86" s="253" t="s">
        <v>775</v>
      </c>
      <c r="AA86" s="187" t="s">
        <v>750</v>
      </c>
      <c r="AB86" s="187" t="s">
        <v>750</v>
      </c>
      <c r="AC86" s="187" t="s">
        <v>750</v>
      </c>
      <c r="AD86" s="187" t="s">
        <v>750</v>
      </c>
      <c r="AE86" s="187" t="s">
        <v>750</v>
      </c>
      <c r="AF86" s="185" t="s">
        <v>774</v>
      </c>
      <c r="AG86" s="185" t="s">
        <v>774</v>
      </c>
      <c r="AH86" s="193" t="s">
        <v>774</v>
      </c>
    </row>
    <row r="87" spans="1:34" ht="18" x14ac:dyDescent="0.25">
      <c r="A87" s="386"/>
      <c r="B87" s="47" t="s">
        <v>260</v>
      </c>
      <c r="C87" s="47">
        <v>168.93</v>
      </c>
      <c r="D87" s="412"/>
      <c r="E87" s="413"/>
      <c r="F87" s="414"/>
      <c r="G87" s="68"/>
      <c r="H87" s="348" t="s">
        <v>676</v>
      </c>
      <c r="I87" s="349"/>
      <c r="J87" s="349"/>
      <c r="K87" s="349"/>
      <c r="L87" s="350"/>
      <c r="M87" s="68"/>
      <c r="N87" s="453" t="s">
        <v>1020</v>
      </c>
      <c r="O87" s="454"/>
      <c r="P87" s="454"/>
      <c r="Q87" s="454"/>
      <c r="R87" s="454"/>
      <c r="S87" s="454" t="s">
        <v>1067</v>
      </c>
      <c r="T87" s="455"/>
      <c r="V87" s="459"/>
      <c r="W87" s="253" t="s">
        <v>824</v>
      </c>
      <c r="X87" s="185" t="s">
        <v>774</v>
      </c>
      <c r="Y87" s="185" t="s">
        <v>774</v>
      </c>
      <c r="Z87" s="185" t="s">
        <v>774</v>
      </c>
      <c r="AA87" s="187" t="s">
        <v>750</v>
      </c>
      <c r="AB87" s="187" t="s">
        <v>750</v>
      </c>
      <c r="AC87" s="187" t="s">
        <v>750</v>
      </c>
      <c r="AD87" s="187" t="s">
        <v>750</v>
      </c>
      <c r="AE87" s="187" t="s">
        <v>750</v>
      </c>
      <c r="AF87" s="185" t="s">
        <v>774</v>
      </c>
      <c r="AG87" s="185" t="s">
        <v>774</v>
      </c>
      <c r="AH87" s="193" t="s">
        <v>774</v>
      </c>
    </row>
    <row r="88" spans="1:34" ht="18" x14ac:dyDescent="0.25">
      <c r="A88" s="386"/>
      <c r="B88" s="47" t="s">
        <v>261</v>
      </c>
      <c r="C88" s="47">
        <v>173.08</v>
      </c>
      <c r="D88" s="412"/>
      <c r="E88" s="413"/>
      <c r="F88" s="414"/>
      <c r="G88" s="68"/>
      <c r="H88" s="336" t="s">
        <v>677</v>
      </c>
      <c r="I88" s="337"/>
      <c r="J88" s="87">
        <v>0</v>
      </c>
      <c r="K88" s="87">
        <v>0</v>
      </c>
      <c r="L88" s="164">
        <v>191.6</v>
      </c>
      <c r="M88" s="68"/>
      <c r="N88" s="453" t="s">
        <v>1021</v>
      </c>
      <c r="O88" s="454"/>
      <c r="P88" s="454"/>
      <c r="Q88" s="454"/>
      <c r="R88" s="454"/>
      <c r="S88" s="454" t="s">
        <v>984</v>
      </c>
      <c r="T88" s="455"/>
      <c r="V88" s="459"/>
      <c r="W88" s="253" t="s">
        <v>825</v>
      </c>
      <c r="X88" s="185" t="s">
        <v>774</v>
      </c>
      <c r="Y88" s="185" t="s">
        <v>774</v>
      </c>
      <c r="Z88" s="185" t="s">
        <v>774</v>
      </c>
      <c r="AA88" s="187" t="s">
        <v>750</v>
      </c>
      <c r="AB88" s="187" t="s">
        <v>750</v>
      </c>
      <c r="AC88" s="187" t="s">
        <v>750</v>
      </c>
      <c r="AD88" s="187" t="s">
        <v>750</v>
      </c>
      <c r="AE88" s="187" t="s">
        <v>750</v>
      </c>
      <c r="AF88" s="185" t="s">
        <v>774</v>
      </c>
      <c r="AG88" s="185" t="s">
        <v>774</v>
      </c>
      <c r="AH88" s="193" t="s">
        <v>774</v>
      </c>
    </row>
    <row r="89" spans="1:34" ht="18" x14ac:dyDescent="0.25">
      <c r="A89" s="386"/>
      <c r="B89" s="47" t="s">
        <v>262</v>
      </c>
      <c r="C89" s="47">
        <v>174.94</v>
      </c>
      <c r="D89" s="412"/>
      <c r="E89" s="413"/>
      <c r="F89" s="414"/>
      <c r="G89" s="68"/>
      <c r="H89" s="336" t="s">
        <v>678</v>
      </c>
      <c r="I89" s="337"/>
      <c r="J89" s="87">
        <v>95.4</v>
      </c>
      <c r="K89" s="87">
        <v>159.4</v>
      </c>
      <c r="L89" s="164">
        <v>238.5</v>
      </c>
      <c r="M89" s="68"/>
      <c r="N89" s="453" t="s">
        <v>1022</v>
      </c>
      <c r="O89" s="454"/>
      <c r="P89" s="454"/>
      <c r="Q89" s="454"/>
      <c r="R89" s="454"/>
      <c r="S89" s="454" t="s">
        <v>985</v>
      </c>
      <c r="T89" s="455"/>
      <c r="V89" s="459"/>
      <c r="W89" s="253" t="s">
        <v>826</v>
      </c>
      <c r="X89" s="185" t="s">
        <v>774</v>
      </c>
      <c r="Y89" s="185" t="s">
        <v>774</v>
      </c>
      <c r="Z89" s="185" t="s">
        <v>774</v>
      </c>
      <c r="AA89" s="187" t="s">
        <v>750</v>
      </c>
      <c r="AB89" s="187" t="s">
        <v>750</v>
      </c>
      <c r="AC89" s="187" t="s">
        <v>750</v>
      </c>
      <c r="AD89" s="187" t="s">
        <v>750</v>
      </c>
      <c r="AE89" s="185" t="s">
        <v>774</v>
      </c>
      <c r="AF89" s="185" t="s">
        <v>774</v>
      </c>
      <c r="AG89" s="185" t="s">
        <v>774</v>
      </c>
      <c r="AH89" s="193" t="s">
        <v>774</v>
      </c>
    </row>
    <row r="90" spans="1:34" ht="18" x14ac:dyDescent="0.25">
      <c r="A90" s="386"/>
      <c r="B90" s="47" t="s">
        <v>263</v>
      </c>
      <c r="C90" s="47">
        <v>178.49</v>
      </c>
      <c r="D90" s="412"/>
      <c r="E90" s="413"/>
      <c r="F90" s="414"/>
      <c r="G90" s="68"/>
      <c r="H90" s="336" t="s">
        <v>679</v>
      </c>
      <c r="I90" s="337"/>
      <c r="J90" s="87">
        <v>50.6</v>
      </c>
      <c r="K90" s="87">
        <v>149.30000000000001</v>
      </c>
      <c r="L90" s="164">
        <v>121.2</v>
      </c>
      <c r="M90" s="68"/>
      <c r="N90" s="453" t="s">
        <v>1023</v>
      </c>
      <c r="O90" s="454"/>
      <c r="P90" s="454"/>
      <c r="Q90" s="454"/>
      <c r="R90" s="454"/>
      <c r="S90" s="454" t="s">
        <v>986</v>
      </c>
      <c r="T90" s="455"/>
      <c r="V90" s="459"/>
      <c r="W90" s="253" t="s">
        <v>827</v>
      </c>
      <c r="X90" s="185" t="s">
        <v>774</v>
      </c>
      <c r="Y90" s="185" t="s">
        <v>774</v>
      </c>
      <c r="Z90" s="188" t="s">
        <v>778</v>
      </c>
      <c r="AA90" s="187" t="s">
        <v>750</v>
      </c>
      <c r="AB90" s="187" t="s">
        <v>750</v>
      </c>
      <c r="AC90" s="187" t="s">
        <v>750</v>
      </c>
      <c r="AD90" s="253" t="s">
        <v>775</v>
      </c>
      <c r="AE90" s="253" t="s">
        <v>775</v>
      </c>
      <c r="AF90" s="185" t="s">
        <v>774</v>
      </c>
      <c r="AG90" s="185" t="s">
        <v>774</v>
      </c>
      <c r="AH90" s="256" t="s">
        <v>775</v>
      </c>
    </row>
    <row r="91" spans="1:34" ht="17.25" x14ac:dyDescent="0.25">
      <c r="A91" s="386"/>
      <c r="B91" s="47" t="s">
        <v>264</v>
      </c>
      <c r="C91" s="47">
        <v>180.95</v>
      </c>
      <c r="D91" s="412"/>
      <c r="E91" s="413"/>
      <c r="F91" s="414"/>
      <c r="G91" s="68"/>
      <c r="H91" s="336" t="s">
        <v>680</v>
      </c>
      <c r="I91" s="337"/>
      <c r="J91" s="87">
        <v>-45.9</v>
      </c>
      <c r="K91" s="87">
        <v>-16.399999999999999</v>
      </c>
      <c r="L91" s="164">
        <v>192.8</v>
      </c>
      <c r="M91" s="68"/>
      <c r="N91" s="453" t="s">
        <v>1024</v>
      </c>
      <c r="O91" s="454"/>
      <c r="P91" s="454"/>
      <c r="Q91" s="454"/>
      <c r="R91" s="454"/>
      <c r="S91" s="454" t="s">
        <v>1068</v>
      </c>
      <c r="T91" s="455"/>
      <c r="V91" s="459"/>
      <c r="W91" s="253" t="s">
        <v>828</v>
      </c>
      <c r="X91" s="185" t="s">
        <v>774</v>
      </c>
      <c r="Y91" s="188" t="s">
        <v>778</v>
      </c>
      <c r="Z91" s="187" t="s">
        <v>750</v>
      </c>
      <c r="AA91" s="187" t="s">
        <v>750</v>
      </c>
      <c r="AB91" s="187" t="s">
        <v>750</v>
      </c>
      <c r="AC91" s="187" t="s">
        <v>750</v>
      </c>
      <c r="AD91" s="187" t="s">
        <v>750</v>
      </c>
      <c r="AE91" s="187" t="s">
        <v>750</v>
      </c>
      <c r="AF91" s="186" t="s">
        <v>777</v>
      </c>
      <c r="AG91" s="185" t="s">
        <v>774</v>
      </c>
      <c r="AH91" s="193" t="s">
        <v>774</v>
      </c>
    </row>
    <row r="92" spans="1:34" ht="17.25" x14ac:dyDescent="0.25">
      <c r="A92" s="386"/>
      <c r="B92" s="47" t="s">
        <v>265</v>
      </c>
      <c r="C92" s="47">
        <v>183.84</v>
      </c>
      <c r="D92" s="412"/>
      <c r="E92" s="413"/>
      <c r="F92" s="414"/>
      <c r="G92" s="68"/>
      <c r="H92" s="336" t="s">
        <v>681</v>
      </c>
      <c r="I92" s="337"/>
      <c r="J92" s="87">
        <v>-69.540000000000006</v>
      </c>
      <c r="K92" s="87">
        <v>-26.5</v>
      </c>
      <c r="L92" s="164">
        <v>95.09</v>
      </c>
      <c r="M92" s="68"/>
      <c r="N92" s="453" t="s">
        <v>1025</v>
      </c>
      <c r="O92" s="454"/>
      <c r="P92" s="454"/>
      <c r="Q92" s="454"/>
      <c r="R92" s="454"/>
      <c r="S92" s="454" t="s">
        <v>1069</v>
      </c>
      <c r="T92" s="455"/>
      <c r="V92" s="459"/>
      <c r="W92" s="253" t="s">
        <v>829</v>
      </c>
      <c r="X92" s="188" t="s">
        <v>778</v>
      </c>
      <c r="Y92" s="188" t="s">
        <v>778</v>
      </c>
      <c r="Z92" s="187" t="s">
        <v>750</v>
      </c>
      <c r="AA92" s="187" t="s">
        <v>750</v>
      </c>
      <c r="AB92" s="187" t="s">
        <v>750</v>
      </c>
      <c r="AC92" s="187" t="s">
        <v>750</v>
      </c>
      <c r="AD92" s="187" t="s">
        <v>750</v>
      </c>
      <c r="AE92" s="187" t="s">
        <v>750</v>
      </c>
      <c r="AF92" s="187" t="s">
        <v>750</v>
      </c>
      <c r="AG92" s="185" t="s">
        <v>774</v>
      </c>
      <c r="AH92" s="193" t="s">
        <v>774</v>
      </c>
    </row>
    <row r="93" spans="1:34" ht="18.75" thickBot="1" x14ac:dyDescent="0.3">
      <c r="A93" s="386"/>
      <c r="B93" s="47" t="s">
        <v>266</v>
      </c>
      <c r="C93" s="47">
        <v>186.21</v>
      </c>
      <c r="D93" s="412"/>
      <c r="E93" s="413"/>
      <c r="F93" s="414"/>
      <c r="G93" s="68"/>
      <c r="H93" s="336" t="s">
        <v>682</v>
      </c>
      <c r="I93" s="337"/>
      <c r="J93" s="87">
        <v>-365.6</v>
      </c>
      <c r="K93" s="87">
        <v>-183.9</v>
      </c>
      <c r="L93" s="164">
        <v>151.1</v>
      </c>
      <c r="M93" s="68"/>
      <c r="N93" s="453" t="s">
        <v>1026</v>
      </c>
      <c r="O93" s="454"/>
      <c r="P93" s="454"/>
      <c r="Q93" s="454"/>
      <c r="R93" s="454"/>
      <c r="S93" s="454" t="s">
        <v>987</v>
      </c>
      <c r="T93" s="455"/>
      <c r="V93" s="478"/>
      <c r="W93" s="249" t="s">
        <v>789</v>
      </c>
      <c r="X93" s="194" t="s">
        <v>750</v>
      </c>
      <c r="Y93" s="194" t="s">
        <v>750</v>
      </c>
      <c r="Z93" s="194" t="s">
        <v>750</v>
      </c>
      <c r="AA93" s="194" t="s">
        <v>750</v>
      </c>
      <c r="AB93" s="194" t="s">
        <v>750</v>
      </c>
      <c r="AC93" s="249" t="s">
        <v>775</v>
      </c>
      <c r="AD93" s="194" t="s">
        <v>750</v>
      </c>
      <c r="AE93" s="194" t="s">
        <v>750</v>
      </c>
      <c r="AF93" s="195" t="s">
        <v>778</v>
      </c>
      <c r="AG93" s="195" t="s">
        <v>778</v>
      </c>
      <c r="AH93" s="196" t="s">
        <v>774</v>
      </c>
    </row>
    <row r="94" spans="1:34" ht="18.75" thickBot="1" x14ac:dyDescent="0.3">
      <c r="A94" s="386"/>
      <c r="B94" s="47" t="s">
        <v>267</v>
      </c>
      <c r="C94" s="47">
        <v>190.23</v>
      </c>
      <c r="D94" s="412"/>
      <c r="E94" s="413"/>
      <c r="F94" s="414"/>
      <c r="G94" s="68"/>
      <c r="H94" s="336" t="s">
        <v>683</v>
      </c>
      <c r="I94" s="337"/>
      <c r="J94" s="87">
        <v>91.3</v>
      </c>
      <c r="K94" s="87">
        <v>87.6</v>
      </c>
      <c r="L94" s="164">
        <v>210.8</v>
      </c>
      <c r="M94" s="68"/>
      <c r="N94" s="453" t="s">
        <v>1027</v>
      </c>
      <c r="O94" s="454"/>
      <c r="P94" s="454"/>
      <c r="Q94" s="454"/>
      <c r="R94" s="454"/>
      <c r="S94" s="454" t="s">
        <v>988</v>
      </c>
      <c r="T94" s="455"/>
      <c r="V94" s="479"/>
      <c r="W94" s="480"/>
      <c r="X94" s="480"/>
      <c r="Y94" s="480"/>
      <c r="Z94" s="480"/>
      <c r="AA94" s="480"/>
      <c r="AB94" s="480"/>
      <c r="AC94" s="480"/>
      <c r="AD94" s="480"/>
      <c r="AE94" s="480"/>
      <c r="AF94" s="480"/>
      <c r="AG94" s="480"/>
      <c r="AH94" s="481"/>
    </row>
    <row r="95" spans="1:34" ht="18" x14ac:dyDescent="0.25">
      <c r="A95" s="386"/>
      <c r="B95" s="47" t="s">
        <v>268</v>
      </c>
      <c r="C95" s="47">
        <v>192.22</v>
      </c>
      <c r="D95" s="412"/>
      <c r="E95" s="413"/>
      <c r="F95" s="414"/>
      <c r="G95" s="68"/>
      <c r="H95" s="336" t="s">
        <v>684</v>
      </c>
      <c r="I95" s="337"/>
      <c r="J95" s="87">
        <v>33.200000000000003</v>
      </c>
      <c r="K95" s="87">
        <v>51.3</v>
      </c>
      <c r="L95" s="164">
        <v>240.1</v>
      </c>
      <c r="M95" s="68"/>
      <c r="N95" s="453" t="s">
        <v>1028</v>
      </c>
      <c r="O95" s="454"/>
      <c r="P95" s="454"/>
      <c r="Q95" s="454"/>
      <c r="R95" s="454"/>
      <c r="S95" s="454" t="s">
        <v>989</v>
      </c>
      <c r="T95" s="455"/>
      <c r="V95" s="189" t="s">
        <v>774</v>
      </c>
      <c r="W95" s="197" t="s">
        <v>779</v>
      </c>
      <c r="X95" s="482" t="s">
        <v>782</v>
      </c>
      <c r="Y95" s="482"/>
      <c r="Z95" s="482"/>
      <c r="AA95" s="483"/>
      <c r="AB95" s="484"/>
      <c r="AC95" s="485"/>
      <c r="AD95" s="485"/>
      <c r="AE95" s="485"/>
      <c r="AF95" s="485"/>
      <c r="AG95" s="485"/>
      <c r="AH95" s="486"/>
    </row>
    <row r="96" spans="1:34" ht="18" x14ac:dyDescent="0.25">
      <c r="A96" s="386"/>
      <c r="B96" s="47" t="s">
        <v>269</v>
      </c>
      <c r="C96" s="47">
        <v>195.084</v>
      </c>
      <c r="D96" s="412"/>
      <c r="E96" s="413"/>
      <c r="F96" s="414"/>
      <c r="G96" s="68"/>
      <c r="H96" s="336" t="s">
        <v>685</v>
      </c>
      <c r="I96" s="337"/>
      <c r="J96" s="87">
        <v>51.7</v>
      </c>
      <c r="K96" s="87">
        <v>66.099999999999994</v>
      </c>
      <c r="L96" s="164">
        <v>261.7</v>
      </c>
      <c r="M96" s="68"/>
      <c r="N96" s="453" t="s">
        <v>1029</v>
      </c>
      <c r="O96" s="454"/>
      <c r="P96" s="454"/>
      <c r="Q96" s="454"/>
      <c r="R96" s="454"/>
      <c r="S96" s="454" t="s">
        <v>990</v>
      </c>
      <c r="T96" s="455"/>
      <c r="V96" s="190" t="s">
        <v>778</v>
      </c>
      <c r="W96" s="253" t="s">
        <v>779</v>
      </c>
      <c r="X96" s="367" t="s">
        <v>783</v>
      </c>
      <c r="Y96" s="367"/>
      <c r="Z96" s="367"/>
      <c r="AA96" s="368"/>
      <c r="AB96" s="484"/>
      <c r="AC96" s="485"/>
      <c r="AD96" s="485"/>
      <c r="AE96" s="485"/>
      <c r="AF96" s="485"/>
      <c r="AG96" s="485"/>
      <c r="AH96" s="486"/>
    </row>
    <row r="97" spans="1:34" ht="18" x14ac:dyDescent="0.25">
      <c r="A97" s="386"/>
      <c r="B97" s="47" t="s">
        <v>270</v>
      </c>
      <c r="C97" s="47">
        <v>196.96656899999999</v>
      </c>
      <c r="D97" s="412"/>
      <c r="E97" s="413"/>
      <c r="F97" s="414"/>
      <c r="G97" s="68"/>
      <c r="H97" s="336" t="s">
        <v>686</v>
      </c>
      <c r="I97" s="337"/>
      <c r="J97" s="87">
        <v>11.1</v>
      </c>
      <c r="K97" s="87">
        <v>99.8</v>
      </c>
      <c r="L97" s="164">
        <v>304.39999999999998</v>
      </c>
      <c r="M97" s="68"/>
      <c r="N97" s="453" t="s">
        <v>1030</v>
      </c>
      <c r="O97" s="454"/>
      <c r="P97" s="454"/>
      <c r="Q97" s="454"/>
      <c r="R97" s="454"/>
      <c r="S97" s="454" t="s">
        <v>1070</v>
      </c>
      <c r="T97" s="455"/>
      <c r="V97" s="191" t="s">
        <v>750</v>
      </c>
      <c r="W97" s="253" t="s">
        <v>779</v>
      </c>
      <c r="X97" s="367" t="s">
        <v>784</v>
      </c>
      <c r="Y97" s="367"/>
      <c r="Z97" s="367"/>
      <c r="AA97" s="368"/>
      <c r="AB97" s="484"/>
      <c r="AC97" s="485"/>
      <c r="AD97" s="485"/>
      <c r="AE97" s="485"/>
      <c r="AF97" s="485"/>
      <c r="AG97" s="485"/>
      <c r="AH97" s="486"/>
    </row>
    <row r="98" spans="1:34" ht="18" x14ac:dyDescent="0.25">
      <c r="A98" s="386"/>
      <c r="B98" s="47" t="s">
        <v>271</v>
      </c>
      <c r="C98" s="47">
        <v>200.59</v>
      </c>
      <c r="D98" s="412"/>
      <c r="E98" s="413"/>
      <c r="F98" s="414"/>
      <c r="G98" s="68"/>
      <c r="H98" s="336" t="s">
        <v>687</v>
      </c>
      <c r="I98" s="337"/>
      <c r="J98" s="87">
        <v>-79.5</v>
      </c>
      <c r="K98" s="87" t="s">
        <v>602</v>
      </c>
      <c r="L98" s="164" t="s">
        <v>602</v>
      </c>
      <c r="M98" s="68"/>
      <c r="N98" s="453" t="s">
        <v>1031</v>
      </c>
      <c r="O98" s="454"/>
      <c r="P98" s="454"/>
      <c r="Q98" s="454"/>
      <c r="R98" s="454"/>
      <c r="S98" s="454" t="s">
        <v>991</v>
      </c>
      <c r="T98" s="455"/>
      <c r="V98" s="252" t="s">
        <v>775</v>
      </c>
      <c r="W98" s="253" t="s">
        <v>779</v>
      </c>
      <c r="X98" s="367" t="s">
        <v>780</v>
      </c>
      <c r="Y98" s="367"/>
      <c r="Z98" s="367"/>
      <c r="AA98" s="368"/>
      <c r="AB98" s="484"/>
      <c r="AC98" s="485"/>
      <c r="AD98" s="485"/>
      <c r="AE98" s="485"/>
      <c r="AF98" s="485"/>
      <c r="AG98" s="485"/>
      <c r="AH98" s="486"/>
    </row>
    <row r="99" spans="1:34" ht="18" thickBot="1" x14ac:dyDescent="0.3">
      <c r="A99" s="386"/>
      <c r="B99" s="47" t="s">
        <v>272</v>
      </c>
      <c r="C99" s="47">
        <v>204.38</v>
      </c>
      <c r="D99" s="412"/>
      <c r="E99" s="413"/>
      <c r="F99" s="414"/>
      <c r="G99" s="68"/>
      <c r="H99" s="336" t="s">
        <v>688</v>
      </c>
      <c r="I99" s="337"/>
      <c r="J99" s="87">
        <v>-174.1</v>
      </c>
      <c r="K99" s="87">
        <v>-80.7</v>
      </c>
      <c r="L99" s="164">
        <v>155.6</v>
      </c>
      <c r="M99" s="68"/>
      <c r="N99" s="453" t="s">
        <v>1032</v>
      </c>
      <c r="O99" s="454"/>
      <c r="P99" s="454"/>
      <c r="Q99" s="454"/>
      <c r="R99" s="454"/>
      <c r="S99" s="454" t="s">
        <v>1071</v>
      </c>
      <c r="T99" s="455"/>
      <c r="V99" s="192" t="s">
        <v>777</v>
      </c>
      <c r="W99" s="249" t="s">
        <v>779</v>
      </c>
      <c r="X99" s="358" t="s">
        <v>781</v>
      </c>
      <c r="Y99" s="358"/>
      <c r="Z99" s="358"/>
      <c r="AA99" s="359"/>
      <c r="AB99" s="487"/>
      <c r="AC99" s="488"/>
      <c r="AD99" s="488"/>
      <c r="AE99" s="488"/>
      <c r="AF99" s="488"/>
      <c r="AG99" s="488"/>
      <c r="AH99" s="489"/>
    </row>
    <row r="100" spans="1:34" ht="17.25" x14ac:dyDescent="0.25">
      <c r="A100" s="386"/>
      <c r="B100" s="47" t="s">
        <v>273</v>
      </c>
      <c r="C100" s="47">
        <v>207.2</v>
      </c>
      <c r="D100" s="412"/>
      <c r="E100" s="413"/>
      <c r="F100" s="414"/>
      <c r="G100" s="68"/>
      <c r="H100" s="336" t="s">
        <v>689</v>
      </c>
      <c r="I100" s="337"/>
      <c r="J100" s="87">
        <v>-133.9</v>
      </c>
      <c r="K100" s="87">
        <v>-73.5</v>
      </c>
      <c r="L100" s="164">
        <v>266.89999999999998</v>
      </c>
      <c r="M100" s="68"/>
      <c r="N100" s="453" t="s">
        <v>1033</v>
      </c>
      <c r="O100" s="454"/>
      <c r="P100" s="454"/>
      <c r="Q100" s="454"/>
      <c r="R100" s="454"/>
      <c r="S100" s="454" t="s">
        <v>1072</v>
      </c>
      <c r="T100" s="455"/>
      <c r="AF100" s="27"/>
      <c r="AG100" s="27"/>
    </row>
    <row r="101" spans="1:34" ht="18" x14ac:dyDescent="0.25">
      <c r="A101" s="386"/>
      <c r="B101" s="47" t="s">
        <v>274</v>
      </c>
      <c r="C101" s="47">
        <v>208.9804</v>
      </c>
      <c r="D101" s="412"/>
      <c r="E101" s="413"/>
      <c r="F101" s="414"/>
      <c r="G101" s="68"/>
      <c r="H101" s="348" t="s">
        <v>194</v>
      </c>
      <c r="I101" s="349"/>
      <c r="J101" s="349"/>
      <c r="K101" s="349"/>
      <c r="L101" s="350"/>
      <c r="M101" s="68"/>
      <c r="N101" s="453" t="s">
        <v>1034</v>
      </c>
      <c r="O101" s="454"/>
      <c r="P101" s="454"/>
      <c r="Q101" s="454"/>
      <c r="R101" s="454"/>
      <c r="S101" s="454" t="s">
        <v>992</v>
      </c>
      <c r="T101" s="455"/>
      <c r="AF101" s="27"/>
      <c r="AG101" s="27"/>
    </row>
    <row r="102" spans="1:34" ht="18" x14ac:dyDescent="0.25">
      <c r="A102" s="386"/>
      <c r="B102" s="47" t="s">
        <v>275</v>
      </c>
      <c r="C102" s="47">
        <v>208.98</v>
      </c>
      <c r="D102" s="412"/>
      <c r="E102" s="413"/>
      <c r="F102" s="414"/>
      <c r="G102" s="68"/>
      <c r="H102" s="336" t="s">
        <v>690</v>
      </c>
      <c r="I102" s="337"/>
      <c r="J102" s="87" t="s">
        <v>602</v>
      </c>
      <c r="K102" s="87">
        <v>-157.19999999999999</v>
      </c>
      <c r="L102" s="164" t="s">
        <v>602</v>
      </c>
      <c r="M102" s="68"/>
      <c r="N102" s="453" t="s">
        <v>1035</v>
      </c>
      <c r="O102" s="454"/>
      <c r="P102" s="454"/>
      <c r="Q102" s="454"/>
      <c r="R102" s="454"/>
      <c r="S102" s="454" t="s">
        <v>993</v>
      </c>
      <c r="T102" s="455"/>
      <c r="AF102" s="27"/>
      <c r="AG102" s="27"/>
    </row>
    <row r="103" spans="1:34" ht="18" x14ac:dyDescent="0.25">
      <c r="A103" s="386"/>
      <c r="B103" s="47" t="s">
        <v>276</v>
      </c>
      <c r="C103" s="47">
        <v>209.99</v>
      </c>
      <c r="D103" s="412"/>
      <c r="E103" s="413"/>
      <c r="F103" s="414"/>
      <c r="G103" s="68"/>
      <c r="H103" s="336" t="s">
        <v>691</v>
      </c>
      <c r="I103" s="337"/>
      <c r="J103" s="87">
        <v>-285.8</v>
      </c>
      <c r="K103" s="87">
        <v>-237.1</v>
      </c>
      <c r="L103" s="164">
        <v>70</v>
      </c>
      <c r="M103" s="68"/>
      <c r="N103" s="453" t="s">
        <v>1036</v>
      </c>
      <c r="O103" s="454"/>
      <c r="P103" s="454"/>
      <c r="Q103" s="454"/>
      <c r="R103" s="454"/>
      <c r="S103" s="454" t="s">
        <v>994</v>
      </c>
      <c r="T103" s="455"/>
    </row>
    <row r="104" spans="1:34" ht="17.25" x14ac:dyDescent="0.25">
      <c r="A104" s="386"/>
      <c r="B104" s="47" t="s">
        <v>277</v>
      </c>
      <c r="C104" s="47">
        <v>222.02</v>
      </c>
      <c r="D104" s="412"/>
      <c r="E104" s="413"/>
      <c r="F104" s="414"/>
      <c r="G104" s="68"/>
      <c r="H104" s="336" t="s">
        <v>692</v>
      </c>
      <c r="I104" s="337"/>
      <c r="J104" s="87">
        <v>-241.8</v>
      </c>
      <c r="K104" s="87">
        <v>-228.6</v>
      </c>
      <c r="L104" s="164">
        <v>188.8</v>
      </c>
      <c r="N104" s="453" t="s">
        <v>1037</v>
      </c>
      <c r="O104" s="454"/>
      <c r="P104" s="454"/>
      <c r="Q104" s="454"/>
      <c r="R104" s="454"/>
      <c r="S104" s="454" t="s">
        <v>1073</v>
      </c>
      <c r="T104" s="455"/>
    </row>
    <row r="105" spans="1:34" ht="18" x14ac:dyDescent="0.25">
      <c r="A105" s="386"/>
      <c r="B105" s="47" t="s">
        <v>278</v>
      </c>
      <c r="C105" s="47"/>
      <c r="D105" s="412"/>
      <c r="E105" s="413"/>
      <c r="F105" s="414"/>
      <c r="G105" s="68"/>
      <c r="H105" s="336" t="s">
        <v>693</v>
      </c>
      <c r="I105" s="337"/>
      <c r="J105" s="87">
        <v>0</v>
      </c>
      <c r="K105" s="87">
        <v>0</v>
      </c>
      <c r="L105" s="164">
        <v>205.2</v>
      </c>
      <c r="N105" s="453" t="s">
        <v>1038</v>
      </c>
      <c r="O105" s="454"/>
      <c r="P105" s="454"/>
      <c r="Q105" s="454"/>
      <c r="R105" s="454"/>
      <c r="S105" s="454" t="s">
        <v>1074</v>
      </c>
      <c r="T105" s="455"/>
    </row>
    <row r="106" spans="1:34" ht="18" x14ac:dyDescent="0.25">
      <c r="A106" s="386"/>
      <c r="B106" s="47" t="s">
        <v>279</v>
      </c>
      <c r="C106" s="47"/>
      <c r="D106" s="412"/>
      <c r="E106" s="413"/>
      <c r="F106" s="414"/>
      <c r="G106" s="68"/>
      <c r="H106" s="336" t="s">
        <v>694</v>
      </c>
      <c r="I106" s="337"/>
      <c r="J106" s="87">
        <v>-187.8</v>
      </c>
      <c r="K106" s="87">
        <v>-120.4</v>
      </c>
      <c r="L106" s="164">
        <v>109.6</v>
      </c>
      <c r="N106" s="453" t="s">
        <v>1039</v>
      </c>
      <c r="O106" s="454"/>
      <c r="P106" s="454"/>
      <c r="Q106" s="454"/>
      <c r="R106" s="454"/>
      <c r="S106" s="454" t="s">
        <v>995</v>
      </c>
      <c r="T106" s="455"/>
    </row>
    <row r="107" spans="1:34" ht="17.25" x14ac:dyDescent="0.25">
      <c r="A107" s="386"/>
      <c r="B107" s="47" t="s">
        <v>280</v>
      </c>
      <c r="C107" s="47"/>
      <c r="D107" s="412"/>
      <c r="E107" s="413"/>
      <c r="F107" s="414"/>
      <c r="H107" s="336" t="s">
        <v>695</v>
      </c>
      <c r="I107" s="337"/>
      <c r="J107" s="87">
        <v>-136.30000000000001</v>
      </c>
      <c r="K107" s="87">
        <v>-105.6</v>
      </c>
      <c r="L107" s="164">
        <v>232.7</v>
      </c>
      <c r="N107" s="453" t="s">
        <v>1040</v>
      </c>
      <c r="O107" s="454"/>
      <c r="P107" s="454"/>
      <c r="Q107" s="454"/>
      <c r="R107" s="454"/>
      <c r="S107" s="454" t="s">
        <v>1075</v>
      </c>
      <c r="T107" s="455"/>
    </row>
    <row r="108" spans="1:34" ht="17.25" x14ac:dyDescent="0.25">
      <c r="A108" s="386"/>
      <c r="B108" s="47" t="s">
        <v>281</v>
      </c>
      <c r="C108" s="47">
        <v>232.04</v>
      </c>
      <c r="D108" s="412"/>
      <c r="E108" s="413"/>
      <c r="F108" s="414"/>
      <c r="H108" s="348" t="s">
        <v>696</v>
      </c>
      <c r="I108" s="349"/>
      <c r="J108" s="349"/>
      <c r="K108" s="349"/>
      <c r="L108" s="350"/>
      <c r="N108" s="453" t="s">
        <v>1041</v>
      </c>
      <c r="O108" s="454"/>
      <c r="P108" s="454"/>
      <c r="Q108" s="454"/>
      <c r="R108" s="454"/>
      <c r="S108" s="454" t="s">
        <v>1076</v>
      </c>
      <c r="T108" s="455"/>
    </row>
    <row r="109" spans="1:34" ht="17.25" x14ac:dyDescent="0.25">
      <c r="A109" s="386"/>
      <c r="B109" s="47" t="s">
        <v>282</v>
      </c>
      <c r="C109" s="47">
        <v>231.04</v>
      </c>
      <c r="D109" s="412"/>
      <c r="E109" s="413"/>
      <c r="F109" s="414"/>
      <c r="H109" s="336" t="s">
        <v>697</v>
      </c>
      <c r="I109" s="337"/>
      <c r="J109" s="87">
        <v>0</v>
      </c>
      <c r="K109" s="87">
        <v>0</v>
      </c>
      <c r="L109" s="164">
        <v>41</v>
      </c>
      <c r="N109" s="453" t="s">
        <v>1042</v>
      </c>
      <c r="O109" s="454"/>
      <c r="P109" s="454"/>
      <c r="Q109" s="454"/>
      <c r="R109" s="454"/>
      <c r="S109" s="454" t="s">
        <v>996</v>
      </c>
      <c r="T109" s="455"/>
    </row>
    <row r="110" spans="1:34" ht="18" x14ac:dyDescent="0.25">
      <c r="A110" s="386"/>
      <c r="B110" s="47" t="s">
        <v>283</v>
      </c>
      <c r="C110" s="47">
        <v>283.02999999999997</v>
      </c>
      <c r="D110" s="412"/>
      <c r="E110" s="413"/>
      <c r="F110" s="414"/>
      <c r="H110" s="336" t="s">
        <v>698</v>
      </c>
      <c r="I110" s="337"/>
      <c r="J110" s="87">
        <v>58.9</v>
      </c>
      <c r="K110" s="87">
        <v>24.4</v>
      </c>
      <c r="L110" s="164">
        <v>280</v>
      </c>
      <c r="N110" s="453" t="s">
        <v>1043</v>
      </c>
      <c r="O110" s="454"/>
      <c r="P110" s="454"/>
      <c r="Q110" s="454"/>
      <c r="R110" s="454"/>
      <c r="S110" s="454" t="s">
        <v>997</v>
      </c>
      <c r="T110" s="455"/>
    </row>
    <row r="111" spans="1:34" ht="18" thickBot="1" x14ac:dyDescent="0.3">
      <c r="A111" s="386"/>
      <c r="B111" s="47" t="s">
        <v>284</v>
      </c>
      <c r="C111" s="47"/>
      <c r="D111" s="412"/>
      <c r="E111" s="413"/>
      <c r="F111" s="414"/>
      <c r="H111" s="336" t="s">
        <v>699</v>
      </c>
      <c r="I111" s="337"/>
      <c r="J111" s="87">
        <v>-287</v>
      </c>
      <c r="K111" s="87">
        <v>-267.8</v>
      </c>
      <c r="L111" s="164">
        <v>311.8</v>
      </c>
      <c r="N111" s="469" t="s">
        <v>1044</v>
      </c>
      <c r="O111" s="470"/>
      <c r="P111" s="470"/>
      <c r="Q111" s="470"/>
      <c r="R111" s="470"/>
      <c r="S111" s="470" t="s">
        <v>1061</v>
      </c>
      <c r="T111" s="471"/>
    </row>
    <row r="112" spans="1:34" ht="15.75" thickBot="1" x14ac:dyDescent="0.3">
      <c r="A112" s="387"/>
      <c r="B112" s="48" t="s">
        <v>285</v>
      </c>
      <c r="C112" s="48"/>
      <c r="D112" s="418"/>
      <c r="E112" s="419"/>
      <c r="F112" s="420"/>
      <c r="H112" s="336" t="s">
        <v>700</v>
      </c>
      <c r="I112" s="337"/>
      <c r="J112" s="87">
        <v>-319.7</v>
      </c>
      <c r="K112" s="87">
        <v>-272.3</v>
      </c>
      <c r="L112" s="164">
        <v>217.1</v>
      </c>
    </row>
    <row r="113" spans="8:21" ht="15.75" thickBot="1" x14ac:dyDescent="0.3">
      <c r="H113" s="336" t="s">
        <v>701</v>
      </c>
      <c r="I113" s="337"/>
      <c r="J113" s="87">
        <v>-1594.4</v>
      </c>
      <c r="K113" s="87">
        <v>-1520.7</v>
      </c>
      <c r="L113" s="164">
        <v>300.8</v>
      </c>
      <c r="N113" s="456" t="s">
        <v>1045</v>
      </c>
      <c r="O113" s="457"/>
      <c r="P113" s="457"/>
      <c r="Q113" s="457"/>
      <c r="R113" s="457"/>
      <c r="S113" s="457"/>
      <c r="T113" s="457"/>
      <c r="U113" s="458"/>
    </row>
    <row r="114" spans="8:21" ht="17.25" x14ac:dyDescent="0.25">
      <c r="H114" s="336" t="s">
        <v>702</v>
      </c>
      <c r="I114" s="337"/>
      <c r="J114" s="87" t="s">
        <v>602</v>
      </c>
      <c r="K114" s="87">
        <v>-1018.7</v>
      </c>
      <c r="L114" s="164" t="s">
        <v>602</v>
      </c>
      <c r="N114" s="363" t="s">
        <v>1077</v>
      </c>
      <c r="O114" s="364"/>
      <c r="P114" s="364"/>
      <c r="Q114" s="364"/>
      <c r="R114" s="364"/>
      <c r="S114" s="364"/>
      <c r="T114" s="364"/>
      <c r="U114" s="365"/>
    </row>
    <row r="115" spans="8:21" x14ac:dyDescent="0.25">
      <c r="H115" s="336" t="s">
        <v>703</v>
      </c>
      <c r="I115" s="337"/>
      <c r="J115" s="87">
        <v>-1271.7</v>
      </c>
      <c r="K115" s="87" t="s">
        <v>602</v>
      </c>
      <c r="L115" s="164" t="s">
        <v>602</v>
      </c>
      <c r="N115" s="459" t="s">
        <v>974</v>
      </c>
      <c r="O115" s="460"/>
      <c r="P115" s="460"/>
      <c r="Q115" s="460"/>
      <c r="R115" s="460"/>
      <c r="S115" s="460"/>
      <c r="T115" s="460" t="s">
        <v>1129</v>
      </c>
      <c r="U115" s="461"/>
    </row>
    <row r="116" spans="8:21" x14ac:dyDescent="0.25">
      <c r="H116" s="336" t="s">
        <v>704</v>
      </c>
      <c r="I116" s="337"/>
      <c r="J116" s="87">
        <v>-1284.4000000000001</v>
      </c>
      <c r="K116" s="87">
        <v>-1124.3</v>
      </c>
      <c r="L116" s="164">
        <v>110.5</v>
      </c>
      <c r="N116" s="462" t="s">
        <v>1081</v>
      </c>
      <c r="O116" s="463"/>
      <c r="P116" s="463"/>
      <c r="Q116" s="463"/>
      <c r="R116" s="463"/>
      <c r="S116" s="463"/>
      <c r="T116" s="442">
        <f>_xlfn.XLOOKUP(N116,N118:N164,T118:T164,"--",1,1)</f>
        <v>1.92</v>
      </c>
      <c r="U116" s="443"/>
    </row>
    <row r="117" spans="8:21" ht="15.75" thickBot="1" x14ac:dyDescent="0.3">
      <c r="H117" s="336" t="s">
        <v>705</v>
      </c>
      <c r="I117" s="337"/>
      <c r="J117" s="87">
        <v>-2984</v>
      </c>
      <c r="K117" s="87">
        <v>-2675.2</v>
      </c>
      <c r="L117" s="164">
        <v>228.9</v>
      </c>
      <c r="N117" s="464" t="str">
        <f>_xlfn.XLOOKUP(T117,T118:T164,N118:N164,"--",1,1)</f>
        <v>Fe3+ (aq) + e- --&gt; Fe2+ (aq)</v>
      </c>
      <c r="O117" s="465"/>
      <c r="P117" s="465"/>
      <c r="Q117" s="465"/>
      <c r="R117" s="465"/>
      <c r="S117" s="465"/>
      <c r="T117" s="466">
        <v>0.77100000000000002</v>
      </c>
      <c r="U117" s="467"/>
    </row>
    <row r="118" spans="8:21" ht="18" x14ac:dyDescent="0.25">
      <c r="H118" s="353" t="s">
        <v>706</v>
      </c>
      <c r="I118" s="354"/>
      <c r="J118" s="354"/>
      <c r="K118" s="354"/>
      <c r="L118" s="355"/>
      <c r="N118" s="378" t="s">
        <v>1082</v>
      </c>
      <c r="O118" s="379"/>
      <c r="P118" s="379"/>
      <c r="Q118" s="379"/>
      <c r="R118" s="379"/>
      <c r="S118" s="379"/>
      <c r="T118" s="379">
        <v>2.8660000000000001</v>
      </c>
      <c r="U118" s="468"/>
    </row>
    <row r="119" spans="8:21" ht="17.25" x14ac:dyDescent="0.25">
      <c r="H119" s="336" t="s">
        <v>707</v>
      </c>
      <c r="I119" s="337"/>
      <c r="J119" s="87">
        <v>-393.4</v>
      </c>
      <c r="K119" s="87">
        <v>-380.7</v>
      </c>
      <c r="L119" s="164">
        <v>95.9</v>
      </c>
      <c r="N119" s="380" t="s">
        <v>1083</v>
      </c>
      <c r="O119" s="381"/>
      <c r="P119" s="381"/>
      <c r="Q119" s="381"/>
      <c r="R119" s="381"/>
      <c r="S119" s="381"/>
      <c r="T119" s="381">
        <v>1.92</v>
      </c>
      <c r="U119" s="490"/>
    </row>
    <row r="120" spans="8:21" ht="18" x14ac:dyDescent="0.25">
      <c r="H120" s="336" t="s">
        <v>708</v>
      </c>
      <c r="I120" s="337"/>
      <c r="J120" s="87">
        <v>-492.7</v>
      </c>
      <c r="K120" s="87">
        <v>-393.13</v>
      </c>
      <c r="L120" s="164">
        <v>132.9</v>
      </c>
      <c r="N120" s="380" t="s">
        <v>1084</v>
      </c>
      <c r="O120" s="381"/>
      <c r="P120" s="381"/>
      <c r="Q120" s="381"/>
      <c r="R120" s="381"/>
      <c r="S120" s="381"/>
      <c r="T120" s="381">
        <v>1.776</v>
      </c>
      <c r="U120" s="490"/>
    </row>
    <row r="121" spans="8:21" ht="17.25" x14ac:dyDescent="0.25">
      <c r="H121" s="348" t="s">
        <v>709</v>
      </c>
      <c r="I121" s="349"/>
      <c r="J121" s="349"/>
      <c r="K121" s="349"/>
      <c r="L121" s="350"/>
      <c r="N121" s="380" t="s">
        <v>1085</v>
      </c>
      <c r="O121" s="381"/>
      <c r="P121" s="381"/>
      <c r="Q121" s="381"/>
      <c r="R121" s="381"/>
      <c r="S121" s="381"/>
      <c r="T121" s="381">
        <v>1.6919999999999999</v>
      </c>
      <c r="U121" s="490"/>
    </row>
    <row r="122" spans="8:21" ht="18" x14ac:dyDescent="0.25">
      <c r="H122" s="336" t="s">
        <v>710</v>
      </c>
      <c r="I122" s="337"/>
      <c r="J122" s="87" t="s">
        <v>602</v>
      </c>
      <c r="K122" s="87">
        <v>77.099999999999994</v>
      </c>
      <c r="L122" s="164" t="s">
        <v>602</v>
      </c>
      <c r="N122" s="380" t="s">
        <v>1086</v>
      </c>
      <c r="O122" s="381"/>
      <c r="P122" s="381"/>
      <c r="Q122" s="381"/>
      <c r="R122" s="381"/>
      <c r="S122" s="381"/>
      <c r="T122" s="381">
        <v>1.5069999999999999</v>
      </c>
      <c r="U122" s="490"/>
    </row>
    <row r="123" spans="8:21" ht="17.25" x14ac:dyDescent="0.25">
      <c r="H123" s="336" t="s">
        <v>711</v>
      </c>
      <c r="I123" s="337"/>
      <c r="J123" s="87" t="s">
        <v>602</v>
      </c>
      <c r="K123" s="87">
        <v>-641.79999999999995</v>
      </c>
      <c r="L123" s="164" t="s">
        <v>602</v>
      </c>
      <c r="N123" s="380" t="s">
        <v>1087</v>
      </c>
      <c r="O123" s="381"/>
      <c r="P123" s="381"/>
      <c r="Q123" s="381"/>
      <c r="R123" s="381"/>
      <c r="S123" s="381"/>
      <c r="T123" s="381">
        <v>1.498</v>
      </c>
      <c r="U123" s="490"/>
    </row>
    <row r="124" spans="8:21" ht="18" x14ac:dyDescent="0.25">
      <c r="H124" s="353" t="s">
        <v>712</v>
      </c>
      <c r="I124" s="354"/>
      <c r="J124" s="354"/>
      <c r="K124" s="354"/>
      <c r="L124" s="355"/>
      <c r="N124" s="380" t="s">
        <v>1088</v>
      </c>
      <c r="O124" s="381"/>
      <c r="P124" s="381"/>
      <c r="Q124" s="381"/>
      <c r="R124" s="381"/>
      <c r="S124" s="381"/>
      <c r="T124" s="381">
        <v>1.3582700000000001</v>
      </c>
      <c r="U124" s="490"/>
    </row>
    <row r="125" spans="8:21" ht="18" x14ac:dyDescent="0.25">
      <c r="H125" s="336" t="s">
        <v>713</v>
      </c>
      <c r="I125" s="337"/>
      <c r="J125" s="87">
        <v>-411.2</v>
      </c>
      <c r="K125" s="87" t="s">
        <v>602</v>
      </c>
      <c r="L125" s="164" t="s">
        <v>602</v>
      </c>
      <c r="N125" s="380" t="s">
        <v>1089</v>
      </c>
      <c r="O125" s="381"/>
      <c r="P125" s="381"/>
      <c r="Q125" s="381"/>
      <c r="R125" s="381"/>
      <c r="S125" s="381"/>
      <c r="T125" s="381">
        <v>1.2290000000000001</v>
      </c>
      <c r="U125" s="490"/>
    </row>
    <row r="126" spans="8:21" ht="18" x14ac:dyDescent="0.25">
      <c r="H126" s="336" t="s">
        <v>714</v>
      </c>
      <c r="I126" s="337"/>
      <c r="J126" s="87">
        <v>-425.8</v>
      </c>
      <c r="K126" s="87" t="s">
        <v>602</v>
      </c>
      <c r="L126" s="164" t="s">
        <v>602</v>
      </c>
      <c r="N126" s="380" t="s">
        <v>1090</v>
      </c>
      <c r="O126" s="381"/>
      <c r="P126" s="381"/>
      <c r="Q126" s="381"/>
      <c r="R126" s="381"/>
      <c r="S126" s="381"/>
      <c r="T126" s="381">
        <v>1.224</v>
      </c>
      <c r="U126" s="490"/>
    </row>
    <row r="127" spans="8:21" ht="18" x14ac:dyDescent="0.25">
      <c r="H127" s="336" t="s">
        <v>715</v>
      </c>
      <c r="I127" s="337"/>
      <c r="J127" s="87"/>
      <c r="K127" s="87"/>
      <c r="L127" s="164"/>
      <c r="N127" s="380" t="s">
        <v>1091</v>
      </c>
      <c r="O127" s="381"/>
      <c r="P127" s="381"/>
      <c r="Q127" s="381"/>
      <c r="R127" s="381"/>
      <c r="S127" s="381"/>
      <c r="T127" s="381">
        <v>1.1950000000000001</v>
      </c>
      <c r="U127" s="490"/>
    </row>
    <row r="128" spans="8:21" ht="18" x14ac:dyDescent="0.25">
      <c r="H128" s="336" t="s">
        <v>716</v>
      </c>
      <c r="I128" s="337"/>
      <c r="J128" s="87">
        <v>0</v>
      </c>
      <c r="K128" s="87">
        <v>0</v>
      </c>
      <c r="L128" s="164">
        <v>32</v>
      </c>
      <c r="N128" s="380" t="s">
        <v>1092</v>
      </c>
      <c r="O128" s="381"/>
      <c r="P128" s="381"/>
      <c r="Q128" s="381"/>
      <c r="R128" s="381"/>
      <c r="S128" s="381"/>
      <c r="T128" s="381">
        <v>1.0660000000000001</v>
      </c>
      <c r="U128" s="490"/>
    </row>
    <row r="129" spans="8:21" ht="18" x14ac:dyDescent="0.25">
      <c r="H129" s="336" t="s">
        <v>717</v>
      </c>
      <c r="I129" s="337"/>
      <c r="J129" s="87">
        <v>-20.6</v>
      </c>
      <c r="K129" s="87" t="s">
        <v>602</v>
      </c>
      <c r="L129" s="164" t="s">
        <v>602</v>
      </c>
      <c r="N129" s="380" t="s">
        <v>1093</v>
      </c>
      <c r="O129" s="381"/>
      <c r="P129" s="381"/>
      <c r="Q129" s="381"/>
      <c r="R129" s="381"/>
      <c r="S129" s="381"/>
      <c r="T129" s="381">
        <v>0.99099999999999999</v>
      </c>
      <c r="U129" s="490"/>
    </row>
    <row r="130" spans="8:21" ht="18" x14ac:dyDescent="0.25">
      <c r="H130" s="336" t="s">
        <v>718</v>
      </c>
      <c r="I130" s="337"/>
      <c r="J130" s="87">
        <v>-814</v>
      </c>
      <c r="K130" s="87" t="s">
        <v>602</v>
      </c>
      <c r="L130" s="164" t="s">
        <v>602</v>
      </c>
      <c r="N130" s="380" t="s">
        <v>1094</v>
      </c>
      <c r="O130" s="381"/>
      <c r="P130" s="381"/>
      <c r="Q130" s="381"/>
      <c r="R130" s="381"/>
      <c r="S130" s="381"/>
      <c r="T130" s="381">
        <v>0.98299999999999998</v>
      </c>
      <c r="U130" s="490"/>
    </row>
    <row r="131" spans="8:21" ht="18" x14ac:dyDescent="0.25">
      <c r="H131" s="336" t="s">
        <v>719</v>
      </c>
      <c r="I131" s="337"/>
      <c r="J131" s="87">
        <v>-1220.5</v>
      </c>
      <c r="K131" s="87">
        <v>-1116.5</v>
      </c>
      <c r="L131" s="164">
        <v>291.5</v>
      </c>
      <c r="N131" s="380" t="s">
        <v>1095</v>
      </c>
      <c r="O131" s="381"/>
      <c r="P131" s="381"/>
      <c r="Q131" s="381"/>
      <c r="R131" s="381"/>
      <c r="S131" s="381"/>
      <c r="T131" s="381">
        <v>0.95699999999999996</v>
      </c>
      <c r="U131" s="490"/>
    </row>
    <row r="132" spans="8:21" ht="17.25" x14ac:dyDescent="0.25">
      <c r="H132" s="348" t="s">
        <v>720</v>
      </c>
      <c r="I132" s="349"/>
      <c r="J132" s="349"/>
      <c r="K132" s="349"/>
      <c r="L132" s="350"/>
      <c r="N132" s="380" t="s">
        <v>1096</v>
      </c>
      <c r="O132" s="381"/>
      <c r="P132" s="381"/>
      <c r="Q132" s="381"/>
      <c r="R132" s="381"/>
      <c r="S132" s="381"/>
      <c r="T132" s="381">
        <v>0.79959999999999998</v>
      </c>
      <c r="U132" s="490"/>
    </row>
    <row r="133" spans="8:21" ht="17.25" x14ac:dyDescent="0.25">
      <c r="H133" s="336" t="s">
        <v>721</v>
      </c>
      <c r="I133" s="337"/>
      <c r="J133" s="87">
        <v>0</v>
      </c>
      <c r="K133" s="87">
        <v>0</v>
      </c>
      <c r="L133" s="164">
        <v>51.2</v>
      </c>
      <c r="N133" s="380" t="s">
        <v>1097</v>
      </c>
      <c r="O133" s="381"/>
      <c r="P133" s="381"/>
      <c r="Q133" s="381"/>
      <c r="R133" s="381"/>
      <c r="S133" s="381"/>
      <c r="T133" s="381">
        <v>0.77100000000000002</v>
      </c>
      <c r="U133" s="490"/>
    </row>
    <row r="134" spans="8:21" ht="18" x14ac:dyDescent="0.25">
      <c r="H134" s="336" t="s">
        <v>722</v>
      </c>
      <c r="I134" s="337"/>
      <c r="J134" s="87">
        <v>-577.6</v>
      </c>
      <c r="K134" s="87">
        <v>-515.79999999999995</v>
      </c>
      <c r="L134" s="164">
        <v>49</v>
      </c>
      <c r="N134" s="380" t="s">
        <v>1098</v>
      </c>
      <c r="O134" s="381"/>
      <c r="P134" s="381"/>
      <c r="Q134" s="381"/>
      <c r="R134" s="381"/>
      <c r="S134" s="381"/>
      <c r="T134" s="381">
        <v>0.69499999999999995</v>
      </c>
      <c r="U134" s="490"/>
    </row>
    <row r="135" spans="8:21" ht="18" x14ac:dyDescent="0.25">
      <c r="H135" s="348" t="s">
        <v>723</v>
      </c>
      <c r="I135" s="349"/>
      <c r="J135" s="349"/>
      <c r="K135" s="349"/>
      <c r="L135" s="350"/>
      <c r="N135" s="380" t="s">
        <v>1099</v>
      </c>
      <c r="O135" s="381"/>
      <c r="P135" s="381"/>
      <c r="Q135" s="381"/>
      <c r="R135" s="381"/>
      <c r="S135" s="381"/>
      <c r="T135" s="381">
        <v>0.59499999999999997</v>
      </c>
      <c r="U135" s="490"/>
    </row>
    <row r="136" spans="8:21" ht="18" x14ac:dyDescent="0.25">
      <c r="H136" s="336" t="s">
        <v>724</v>
      </c>
      <c r="I136" s="337"/>
      <c r="J136" s="87">
        <v>-763.2</v>
      </c>
      <c r="K136" s="87">
        <v>-726.3</v>
      </c>
      <c r="L136" s="164">
        <v>353.2</v>
      </c>
      <c r="N136" s="380" t="s">
        <v>1100</v>
      </c>
      <c r="O136" s="381"/>
      <c r="P136" s="381"/>
      <c r="Q136" s="381"/>
      <c r="R136" s="381"/>
      <c r="S136" s="381"/>
      <c r="T136" s="381">
        <v>0.53549999999999998</v>
      </c>
      <c r="U136" s="490"/>
    </row>
    <row r="137" spans="8:21" ht="17.25" x14ac:dyDescent="0.25">
      <c r="H137" s="336" t="s">
        <v>725</v>
      </c>
      <c r="I137" s="337"/>
      <c r="J137" s="87">
        <v>-804.2</v>
      </c>
      <c r="K137" s="87">
        <v>-737.2</v>
      </c>
      <c r="L137" s="164">
        <v>252.3</v>
      </c>
      <c r="N137" s="380" t="s">
        <v>1101</v>
      </c>
      <c r="O137" s="381"/>
      <c r="P137" s="381"/>
      <c r="Q137" s="381"/>
      <c r="R137" s="381"/>
      <c r="S137" s="381"/>
      <c r="T137" s="381">
        <v>0.52100000000000002</v>
      </c>
      <c r="U137" s="490"/>
    </row>
    <row r="138" spans="8:21" ht="18.75" thickBot="1" x14ac:dyDescent="0.3">
      <c r="H138" s="340" t="s">
        <v>726</v>
      </c>
      <c r="I138" s="341"/>
      <c r="J138" s="165">
        <v>-944</v>
      </c>
      <c r="K138" s="165">
        <v>-888.8</v>
      </c>
      <c r="L138" s="166">
        <v>50.6</v>
      </c>
      <c r="N138" s="380" t="s">
        <v>1102</v>
      </c>
      <c r="O138" s="381"/>
      <c r="P138" s="381"/>
      <c r="Q138" s="381"/>
      <c r="R138" s="381"/>
      <c r="S138" s="381"/>
      <c r="T138" s="381">
        <v>0.40100000000000002</v>
      </c>
      <c r="U138" s="490"/>
    </row>
    <row r="139" spans="8:21" ht="17.25" x14ac:dyDescent="0.25">
      <c r="N139" s="380" t="s">
        <v>1103</v>
      </c>
      <c r="O139" s="381"/>
      <c r="P139" s="381"/>
      <c r="Q139" s="381"/>
      <c r="R139" s="381"/>
      <c r="S139" s="381"/>
      <c r="T139" s="381">
        <v>0.34189999999999998</v>
      </c>
      <c r="U139" s="490"/>
    </row>
    <row r="140" spans="8:21" ht="18" x14ac:dyDescent="0.25">
      <c r="N140" s="380" t="s">
        <v>1104</v>
      </c>
      <c r="O140" s="381"/>
      <c r="P140" s="381"/>
      <c r="Q140" s="381"/>
      <c r="R140" s="381"/>
      <c r="S140" s="381"/>
      <c r="T140" s="381">
        <v>0.17199999999999999</v>
      </c>
      <c r="U140" s="490"/>
    </row>
    <row r="141" spans="8:21" ht="17.25" x14ac:dyDescent="0.25">
      <c r="N141" s="380" t="s">
        <v>1105</v>
      </c>
      <c r="O141" s="381"/>
      <c r="P141" s="381"/>
      <c r="Q141" s="381"/>
      <c r="R141" s="381"/>
      <c r="S141" s="381"/>
      <c r="T141" s="381">
        <v>0.153</v>
      </c>
      <c r="U141" s="490"/>
    </row>
    <row r="142" spans="8:21" ht="17.25" x14ac:dyDescent="0.25">
      <c r="N142" s="380" t="s">
        <v>1106</v>
      </c>
      <c r="O142" s="381"/>
      <c r="P142" s="381"/>
      <c r="Q142" s="381"/>
      <c r="R142" s="381"/>
      <c r="S142" s="381"/>
      <c r="T142" s="381">
        <v>0.151</v>
      </c>
      <c r="U142" s="490"/>
    </row>
    <row r="143" spans="8:21" ht="18" x14ac:dyDescent="0.25">
      <c r="N143" s="380" t="s">
        <v>1107</v>
      </c>
      <c r="O143" s="381"/>
      <c r="P143" s="381"/>
      <c r="Q143" s="381"/>
      <c r="R143" s="381"/>
      <c r="S143" s="381"/>
      <c r="T143" s="381">
        <v>0</v>
      </c>
      <c r="U143" s="490"/>
    </row>
    <row r="144" spans="8:21" ht="17.25" x14ac:dyDescent="0.25">
      <c r="N144" s="380" t="s">
        <v>1108</v>
      </c>
      <c r="O144" s="381"/>
      <c r="P144" s="381"/>
      <c r="Q144" s="381"/>
      <c r="R144" s="381"/>
      <c r="S144" s="381"/>
      <c r="T144" s="381">
        <v>-3.6999999999999998E-2</v>
      </c>
      <c r="U144" s="490"/>
    </row>
    <row r="145" spans="14:21" ht="17.25" x14ac:dyDescent="0.25">
      <c r="N145" s="380" t="s">
        <v>1109</v>
      </c>
      <c r="O145" s="381"/>
      <c r="P145" s="381"/>
      <c r="Q145" s="381"/>
      <c r="R145" s="381"/>
      <c r="S145" s="381"/>
      <c r="T145" s="381">
        <v>-0.12620000000000001</v>
      </c>
      <c r="U145" s="490"/>
    </row>
    <row r="146" spans="14:21" ht="18" x14ac:dyDescent="0.25">
      <c r="N146" s="380" t="s">
        <v>1110</v>
      </c>
      <c r="O146" s="381"/>
      <c r="P146" s="381"/>
      <c r="Q146" s="381"/>
      <c r="R146" s="381"/>
      <c r="S146" s="381"/>
      <c r="T146" s="381">
        <v>-0.13</v>
      </c>
      <c r="U146" s="490"/>
    </row>
    <row r="147" spans="14:21" ht="17.25" x14ac:dyDescent="0.25">
      <c r="N147" s="380" t="s">
        <v>1111</v>
      </c>
      <c r="O147" s="381"/>
      <c r="P147" s="381"/>
      <c r="Q147" s="381"/>
      <c r="R147" s="381"/>
      <c r="S147" s="381"/>
      <c r="T147" s="381">
        <v>-0.13750000000000001</v>
      </c>
      <c r="U147" s="490"/>
    </row>
    <row r="148" spans="14:21" ht="17.25" x14ac:dyDescent="0.25">
      <c r="N148" s="380" t="s">
        <v>1112</v>
      </c>
      <c r="O148" s="381"/>
      <c r="P148" s="381"/>
      <c r="Q148" s="381"/>
      <c r="R148" s="381"/>
      <c r="S148" s="381"/>
      <c r="T148" s="381">
        <v>-0.25700000000000001</v>
      </c>
      <c r="U148" s="490"/>
    </row>
    <row r="149" spans="14:21" ht="17.25" x14ac:dyDescent="0.25">
      <c r="N149" s="380" t="s">
        <v>1113</v>
      </c>
      <c r="O149" s="381"/>
      <c r="P149" s="381"/>
      <c r="Q149" s="381"/>
      <c r="R149" s="381"/>
      <c r="S149" s="381"/>
      <c r="T149" s="381">
        <v>-0.28000000000000003</v>
      </c>
      <c r="U149" s="490"/>
    </row>
    <row r="150" spans="14:21" ht="18" x14ac:dyDescent="0.25">
      <c r="N150" s="380" t="s">
        <v>1114</v>
      </c>
      <c r="O150" s="381"/>
      <c r="P150" s="381"/>
      <c r="Q150" s="381"/>
      <c r="R150" s="381"/>
      <c r="S150" s="381"/>
      <c r="T150" s="381">
        <v>-0.35880000000000001</v>
      </c>
      <c r="U150" s="490"/>
    </row>
    <row r="151" spans="14:21" ht="17.25" x14ac:dyDescent="0.25">
      <c r="N151" s="380" t="s">
        <v>1115</v>
      </c>
      <c r="O151" s="381"/>
      <c r="P151" s="381"/>
      <c r="Q151" s="381"/>
      <c r="R151" s="381"/>
      <c r="S151" s="381"/>
      <c r="T151" s="381">
        <v>-0.40699999999999997</v>
      </c>
      <c r="U151" s="490"/>
    </row>
    <row r="152" spans="14:21" ht="17.25" x14ac:dyDescent="0.25">
      <c r="N152" s="380" t="s">
        <v>1116</v>
      </c>
      <c r="O152" s="381"/>
      <c r="P152" s="381"/>
      <c r="Q152" s="381"/>
      <c r="R152" s="381"/>
      <c r="S152" s="381"/>
      <c r="T152" s="381">
        <v>-0.44700000000000001</v>
      </c>
      <c r="U152" s="490"/>
    </row>
    <row r="153" spans="14:21" ht="17.25" x14ac:dyDescent="0.25">
      <c r="N153" s="380" t="s">
        <v>1117</v>
      </c>
      <c r="O153" s="381"/>
      <c r="P153" s="381"/>
      <c r="Q153" s="381"/>
      <c r="R153" s="381"/>
      <c r="S153" s="381"/>
      <c r="T153" s="381">
        <v>-0.74399999999999999</v>
      </c>
      <c r="U153" s="490"/>
    </row>
    <row r="154" spans="14:21" ht="17.25" x14ac:dyDescent="0.25">
      <c r="N154" s="380" t="s">
        <v>1118</v>
      </c>
      <c r="O154" s="381"/>
      <c r="P154" s="381"/>
      <c r="Q154" s="381"/>
      <c r="R154" s="381"/>
      <c r="S154" s="381"/>
      <c r="T154" s="381">
        <v>-0.76180000000000003</v>
      </c>
      <c r="U154" s="490"/>
    </row>
    <row r="155" spans="14:21" ht="18" x14ac:dyDescent="0.25">
      <c r="N155" s="380" t="s">
        <v>1119</v>
      </c>
      <c r="O155" s="381"/>
      <c r="P155" s="381"/>
      <c r="Q155" s="381"/>
      <c r="R155" s="381"/>
      <c r="S155" s="381"/>
      <c r="T155" s="381">
        <v>-0.82769999999999999</v>
      </c>
      <c r="U155" s="490"/>
    </row>
    <row r="156" spans="14:21" ht="17.25" x14ac:dyDescent="0.25">
      <c r="N156" s="380" t="s">
        <v>1120</v>
      </c>
      <c r="O156" s="381"/>
      <c r="P156" s="381"/>
      <c r="Q156" s="381"/>
      <c r="R156" s="381"/>
      <c r="S156" s="381"/>
      <c r="T156" s="381">
        <v>-0.91300000000000003</v>
      </c>
      <c r="U156" s="490"/>
    </row>
    <row r="157" spans="14:21" ht="18" x14ac:dyDescent="0.25">
      <c r="N157" s="380" t="s">
        <v>1121</v>
      </c>
      <c r="O157" s="381"/>
      <c r="P157" s="381"/>
      <c r="Q157" s="381"/>
      <c r="R157" s="381"/>
      <c r="S157" s="381"/>
      <c r="T157" s="381">
        <v>-1.1599999999999999</v>
      </c>
      <c r="U157" s="490"/>
    </row>
    <row r="158" spans="14:21" ht="17.25" x14ac:dyDescent="0.25">
      <c r="N158" s="380" t="s">
        <v>1122</v>
      </c>
      <c r="O158" s="381"/>
      <c r="P158" s="381"/>
      <c r="Q158" s="381"/>
      <c r="R158" s="381"/>
      <c r="S158" s="381"/>
      <c r="T158" s="381">
        <v>-1.1850000000000001</v>
      </c>
      <c r="U158" s="490"/>
    </row>
    <row r="159" spans="14:21" ht="17.25" x14ac:dyDescent="0.25">
      <c r="N159" s="380" t="s">
        <v>1123</v>
      </c>
      <c r="O159" s="381"/>
      <c r="P159" s="381"/>
      <c r="Q159" s="381"/>
      <c r="R159" s="381"/>
      <c r="S159" s="381"/>
      <c r="T159" s="381">
        <v>-1.6759999999999999</v>
      </c>
      <c r="U159" s="490"/>
    </row>
    <row r="160" spans="14:21" ht="17.25" x14ac:dyDescent="0.25">
      <c r="N160" s="380" t="s">
        <v>1124</v>
      </c>
      <c r="O160" s="381"/>
      <c r="P160" s="381"/>
      <c r="Q160" s="381"/>
      <c r="R160" s="381"/>
      <c r="S160" s="381"/>
      <c r="T160" s="381">
        <v>-2.077</v>
      </c>
      <c r="U160" s="490"/>
    </row>
    <row r="161" spans="14:21" ht="17.25" x14ac:dyDescent="0.25">
      <c r="N161" s="380" t="s">
        <v>1125</v>
      </c>
      <c r="O161" s="381"/>
      <c r="P161" s="381"/>
      <c r="Q161" s="381"/>
      <c r="R161" s="381"/>
      <c r="S161" s="381"/>
      <c r="T161" s="381">
        <v>-2.3719999999999999</v>
      </c>
      <c r="U161" s="490"/>
    </row>
    <row r="162" spans="14:21" ht="17.25" x14ac:dyDescent="0.25">
      <c r="N162" s="380" t="s">
        <v>1126</v>
      </c>
      <c r="O162" s="381"/>
      <c r="P162" s="381"/>
      <c r="Q162" s="381"/>
      <c r="R162" s="381"/>
      <c r="S162" s="381"/>
      <c r="T162" s="381">
        <v>-2.71</v>
      </c>
      <c r="U162" s="490"/>
    </row>
    <row r="163" spans="14:21" ht="17.25" x14ac:dyDescent="0.25">
      <c r="N163" s="380" t="s">
        <v>1127</v>
      </c>
      <c r="O163" s="381"/>
      <c r="P163" s="381"/>
      <c r="Q163" s="381"/>
      <c r="R163" s="381"/>
      <c r="S163" s="381"/>
      <c r="T163" s="381">
        <v>-2.8679999999999999</v>
      </c>
      <c r="U163" s="490"/>
    </row>
    <row r="164" spans="14:21" ht="18" thickBot="1" x14ac:dyDescent="0.3">
      <c r="N164" s="384" t="s">
        <v>1128</v>
      </c>
      <c r="O164" s="385"/>
      <c r="P164" s="385"/>
      <c r="Q164" s="385"/>
      <c r="R164" s="385"/>
      <c r="S164" s="385"/>
      <c r="T164" s="385">
        <v>-2.9119999999999999</v>
      </c>
      <c r="U164" s="494"/>
    </row>
  </sheetData>
  <mergeCells count="445">
    <mergeCell ref="U20:X20"/>
    <mergeCell ref="N164:S164"/>
    <mergeCell ref="T164:U164"/>
    <mergeCell ref="A3:J3"/>
    <mergeCell ref="N159:S159"/>
    <mergeCell ref="T159:U159"/>
    <mergeCell ref="N160:S160"/>
    <mergeCell ref="T160:U160"/>
    <mergeCell ref="N161:S161"/>
    <mergeCell ref="T161:U161"/>
    <mergeCell ref="N162:S162"/>
    <mergeCell ref="T162:U162"/>
    <mergeCell ref="N163:S163"/>
    <mergeCell ref="T163:U163"/>
    <mergeCell ref="N154:S154"/>
    <mergeCell ref="T154:U154"/>
    <mergeCell ref="N155:S155"/>
    <mergeCell ref="T155:U155"/>
    <mergeCell ref="N156:S156"/>
    <mergeCell ref="T156:U156"/>
    <mergeCell ref="N157:S157"/>
    <mergeCell ref="T157:U157"/>
    <mergeCell ref="N158:S158"/>
    <mergeCell ref="T158:U158"/>
    <mergeCell ref="N149:S149"/>
    <mergeCell ref="T149:U149"/>
    <mergeCell ref="N150:S150"/>
    <mergeCell ref="T150:U150"/>
    <mergeCell ref="N151:S151"/>
    <mergeCell ref="T151:U151"/>
    <mergeCell ref="N152:S152"/>
    <mergeCell ref="T152:U152"/>
    <mergeCell ref="N153:S153"/>
    <mergeCell ref="T153:U153"/>
    <mergeCell ref="N144:S144"/>
    <mergeCell ref="T144:U144"/>
    <mergeCell ref="N145:S145"/>
    <mergeCell ref="T145:U145"/>
    <mergeCell ref="N146:S146"/>
    <mergeCell ref="T146:U146"/>
    <mergeCell ref="N147:S147"/>
    <mergeCell ref="T147:U147"/>
    <mergeCell ref="N148:S148"/>
    <mergeCell ref="T148:U148"/>
    <mergeCell ref="N139:S139"/>
    <mergeCell ref="T139:U139"/>
    <mergeCell ref="N140:S140"/>
    <mergeCell ref="T140:U140"/>
    <mergeCell ref="N141:S141"/>
    <mergeCell ref="T141:U141"/>
    <mergeCell ref="N142:S142"/>
    <mergeCell ref="T142:U142"/>
    <mergeCell ref="N143:S143"/>
    <mergeCell ref="T143:U143"/>
    <mergeCell ref="N134:S134"/>
    <mergeCell ref="T134:U134"/>
    <mergeCell ref="N135:S135"/>
    <mergeCell ref="T135:U135"/>
    <mergeCell ref="N136:S136"/>
    <mergeCell ref="T136:U136"/>
    <mergeCell ref="N137:S137"/>
    <mergeCell ref="T137:U137"/>
    <mergeCell ref="N138:S138"/>
    <mergeCell ref="T138:U138"/>
    <mergeCell ref="N129:S129"/>
    <mergeCell ref="T129:U129"/>
    <mergeCell ref="N130:S130"/>
    <mergeCell ref="T130:U130"/>
    <mergeCell ref="N131:S131"/>
    <mergeCell ref="T131:U131"/>
    <mergeCell ref="N132:S132"/>
    <mergeCell ref="T132:U132"/>
    <mergeCell ref="N133:S133"/>
    <mergeCell ref="T133:U133"/>
    <mergeCell ref="N124:S124"/>
    <mergeCell ref="T124:U124"/>
    <mergeCell ref="N125:S125"/>
    <mergeCell ref="T125:U125"/>
    <mergeCell ref="N126:S126"/>
    <mergeCell ref="T126:U126"/>
    <mergeCell ref="N127:S127"/>
    <mergeCell ref="T127:U127"/>
    <mergeCell ref="N128:S128"/>
    <mergeCell ref="T128:U128"/>
    <mergeCell ref="T119:U119"/>
    <mergeCell ref="N120:S120"/>
    <mergeCell ref="T120:U120"/>
    <mergeCell ref="N121:S121"/>
    <mergeCell ref="T121:U121"/>
    <mergeCell ref="N122:S122"/>
    <mergeCell ref="T122:U122"/>
    <mergeCell ref="N123:S123"/>
    <mergeCell ref="T123:U123"/>
    <mergeCell ref="N119:S119"/>
    <mergeCell ref="N116:S116"/>
    <mergeCell ref="T116:U116"/>
    <mergeCell ref="N117:S117"/>
    <mergeCell ref="T117:U117"/>
    <mergeCell ref="N118:S118"/>
    <mergeCell ref="T118:U118"/>
    <mergeCell ref="N111:R111"/>
    <mergeCell ref="S111:T111"/>
    <mergeCell ref="V73:AH73"/>
    <mergeCell ref="V74:W76"/>
    <mergeCell ref="X74:AH74"/>
    <mergeCell ref="V77:V93"/>
    <mergeCell ref="V94:AH94"/>
    <mergeCell ref="X95:AA95"/>
    <mergeCell ref="AB95:AH99"/>
    <mergeCell ref="X96:AA96"/>
    <mergeCell ref="X97:AA97"/>
    <mergeCell ref="X98:AA98"/>
    <mergeCell ref="X99:AA99"/>
    <mergeCell ref="N106:R106"/>
    <mergeCell ref="S106:T106"/>
    <mergeCell ref="N107:R107"/>
    <mergeCell ref="S107:T107"/>
    <mergeCell ref="N108:R108"/>
    <mergeCell ref="N103:R103"/>
    <mergeCell ref="S103:T103"/>
    <mergeCell ref="N104:R104"/>
    <mergeCell ref="S104:T104"/>
    <mergeCell ref="N105:R105"/>
    <mergeCell ref="S105:T105"/>
    <mergeCell ref="N113:U113"/>
    <mergeCell ref="N114:U114"/>
    <mergeCell ref="N115:S115"/>
    <mergeCell ref="T115:U115"/>
    <mergeCell ref="S108:T108"/>
    <mergeCell ref="N109:R109"/>
    <mergeCell ref="S109:T109"/>
    <mergeCell ref="N110:R110"/>
    <mergeCell ref="S110:T110"/>
    <mergeCell ref="N98:R98"/>
    <mergeCell ref="S98:T98"/>
    <mergeCell ref="N99:R99"/>
    <mergeCell ref="S99:T99"/>
    <mergeCell ref="N100:R100"/>
    <mergeCell ref="S100:T100"/>
    <mergeCell ref="S101:T101"/>
    <mergeCell ref="N102:R102"/>
    <mergeCell ref="S102:T102"/>
    <mergeCell ref="N101:R101"/>
    <mergeCell ref="N93:R93"/>
    <mergeCell ref="S93:T93"/>
    <mergeCell ref="N94:R94"/>
    <mergeCell ref="S94:T94"/>
    <mergeCell ref="N95:R95"/>
    <mergeCell ref="S95:T95"/>
    <mergeCell ref="N96:R96"/>
    <mergeCell ref="S96:T96"/>
    <mergeCell ref="N97:R97"/>
    <mergeCell ref="S97:T97"/>
    <mergeCell ref="N88:R88"/>
    <mergeCell ref="S88:T88"/>
    <mergeCell ref="N89:R89"/>
    <mergeCell ref="S89:T89"/>
    <mergeCell ref="N90:R90"/>
    <mergeCell ref="S90:T90"/>
    <mergeCell ref="N91:R91"/>
    <mergeCell ref="S91:T91"/>
    <mergeCell ref="N92:R92"/>
    <mergeCell ref="S92:T92"/>
    <mergeCell ref="N83:R83"/>
    <mergeCell ref="S83:T83"/>
    <mergeCell ref="N84:R84"/>
    <mergeCell ref="S84:T84"/>
    <mergeCell ref="N85:R85"/>
    <mergeCell ref="S85:T85"/>
    <mergeCell ref="N86:R86"/>
    <mergeCell ref="S86:T86"/>
    <mergeCell ref="N87:R87"/>
    <mergeCell ref="S87:T87"/>
    <mergeCell ref="N78:R78"/>
    <mergeCell ref="S78:T78"/>
    <mergeCell ref="N79:R79"/>
    <mergeCell ref="S79:T79"/>
    <mergeCell ref="N80:R80"/>
    <mergeCell ref="S80:T80"/>
    <mergeCell ref="N81:R81"/>
    <mergeCell ref="S81:T81"/>
    <mergeCell ref="N82:R82"/>
    <mergeCell ref="S82:T82"/>
    <mergeCell ref="N73:R73"/>
    <mergeCell ref="S73:T73"/>
    <mergeCell ref="N74:R74"/>
    <mergeCell ref="S74:T74"/>
    <mergeCell ref="N75:R75"/>
    <mergeCell ref="S75:T75"/>
    <mergeCell ref="N76:R76"/>
    <mergeCell ref="S76:T76"/>
    <mergeCell ref="N77:R77"/>
    <mergeCell ref="S77:T77"/>
    <mergeCell ref="N68:R68"/>
    <mergeCell ref="S68:T68"/>
    <mergeCell ref="N69:R69"/>
    <mergeCell ref="S69:T69"/>
    <mergeCell ref="N70:R70"/>
    <mergeCell ref="S70:T70"/>
    <mergeCell ref="N71:R71"/>
    <mergeCell ref="S71:T71"/>
    <mergeCell ref="N72:R72"/>
    <mergeCell ref="S72:T72"/>
    <mergeCell ref="N63:R63"/>
    <mergeCell ref="S63:T63"/>
    <mergeCell ref="N64:R64"/>
    <mergeCell ref="S64:T64"/>
    <mergeCell ref="N65:R65"/>
    <mergeCell ref="S65:T65"/>
    <mergeCell ref="N66:R66"/>
    <mergeCell ref="S66:T66"/>
    <mergeCell ref="N67:R67"/>
    <mergeCell ref="S67:T67"/>
    <mergeCell ref="U34:W34"/>
    <mergeCell ref="U35:W35"/>
    <mergeCell ref="S22:T23"/>
    <mergeCell ref="N61:T61"/>
    <mergeCell ref="N62:R62"/>
    <mergeCell ref="S62:T62"/>
    <mergeCell ref="N30:R30"/>
    <mergeCell ref="N31:R31"/>
    <mergeCell ref="N32:R32"/>
    <mergeCell ref="N33:R33"/>
    <mergeCell ref="N34:R34"/>
    <mergeCell ref="N35:R35"/>
    <mergeCell ref="S31:T31"/>
    <mergeCell ref="S32:T32"/>
    <mergeCell ref="S33:T33"/>
    <mergeCell ref="S34:T34"/>
    <mergeCell ref="S35:T35"/>
    <mergeCell ref="O57:P57"/>
    <mergeCell ref="O58:P58"/>
    <mergeCell ref="O59:P59"/>
    <mergeCell ref="N25:R25"/>
    <mergeCell ref="H40:I40"/>
    <mergeCell ref="H32:I32"/>
    <mergeCell ref="H33:I33"/>
    <mergeCell ref="H34:I34"/>
    <mergeCell ref="H35:I35"/>
    <mergeCell ref="U21:W21"/>
    <mergeCell ref="U22:W22"/>
    <mergeCell ref="U23:W23"/>
    <mergeCell ref="U24:W24"/>
    <mergeCell ref="U25:W25"/>
    <mergeCell ref="U26:W26"/>
    <mergeCell ref="U27:W27"/>
    <mergeCell ref="N29:R29"/>
    <mergeCell ref="N26:R26"/>
    <mergeCell ref="N27:R27"/>
    <mergeCell ref="N28:R28"/>
    <mergeCell ref="U28:W28"/>
    <mergeCell ref="U29:W29"/>
    <mergeCell ref="N22:R22"/>
    <mergeCell ref="N23:R23"/>
    <mergeCell ref="U30:W30"/>
    <mergeCell ref="U31:W31"/>
    <mergeCell ref="U32:W32"/>
    <mergeCell ref="U33:W33"/>
    <mergeCell ref="S20:T20"/>
    <mergeCell ref="S21:T21"/>
    <mergeCell ref="S24:T24"/>
    <mergeCell ref="S25:T25"/>
    <mergeCell ref="S26:T26"/>
    <mergeCell ref="S27:T27"/>
    <mergeCell ref="S28:T28"/>
    <mergeCell ref="S29:T29"/>
    <mergeCell ref="S30:T30"/>
    <mergeCell ref="H11:I11"/>
    <mergeCell ref="H13:I13"/>
    <mergeCell ref="H14:I14"/>
    <mergeCell ref="H46:I46"/>
    <mergeCell ref="H47:I47"/>
    <mergeCell ref="H48:I48"/>
    <mergeCell ref="H49:I49"/>
    <mergeCell ref="R37:T37"/>
    <mergeCell ref="R38:T38"/>
    <mergeCell ref="R39:T39"/>
    <mergeCell ref="R40:T40"/>
    <mergeCell ref="O40:P40"/>
    <mergeCell ref="O45:P45"/>
    <mergeCell ref="O46:P46"/>
    <mergeCell ref="O37:P37"/>
    <mergeCell ref="O38:P38"/>
    <mergeCell ref="O39:P39"/>
    <mergeCell ref="O41:P41"/>
    <mergeCell ref="H44:I44"/>
    <mergeCell ref="H23:I23"/>
    <mergeCell ref="H24:I24"/>
    <mergeCell ref="H25:I25"/>
    <mergeCell ref="H22:L22"/>
    <mergeCell ref="H36:I36"/>
    <mergeCell ref="A11:B11"/>
    <mergeCell ref="A6:D6"/>
    <mergeCell ref="A7:B7"/>
    <mergeCell ref="A9:B9"/>
    <mergeCell ref="A8:B8"/>
    <mergeCell ref="A10:B10"/>
    <mergeCell ref="A18:A112"/>
    <mergeCell ref="A13:F13"/>
    <mergeCell ref="A14:F15"/>
    <mergeCell ref="A16:F17"/>
    <mergeCell ref="D24:F25"/>
    <mergeCell ref="D18:F23"/>
    <mergeCell ref="D26:F112"/>
    <mergeCell ref="A4:E4"/>
    <mergeCell ref="R45:U45"/>
    <mergeCell ref="R42:U42"/>
    <mergeCell ref="R43:U43"/>
    <mergeCell ref="R44:U44"/>
    <mergeCell ref="N4:R4"/>
    <mergeCell ref="Q5:R5"/>
    <mergeCell ref="Q6:R6"/>
    <mergeCell ref="N5:O5"/>
    <mergeCell ref="N6:O6"/>
    <mergeCell ref="H8:L8"/>
    <mergeCell ref="H9:L9"/>
    <mergeCell ref="H26:I26"/>
    <mergeCell ref="H27:I27"/>
    <mergeCell ref="H29:I29"/>
    <mergeCell ref="H30:I30"/>
    <mergeCell ref="H21:I21"/>
    <mergeCell ref="N20:R20"/>
    <mergeCell ref="N21:R21"/>
    <mergeCell ref="N24:R24"/>
    <mergeCell ref="H10:I10"/>
    <mergeCell ref="O42:P42"/>
    <mergeCell ref="O43:P43"/>
    <mergeCell ref="O44:P44"/>
    <mergeCell ref="H61:I61"/>
    <mergeCell ref="H63:I63"/>
    <mergeCell ref="H65:I65"/>
    <mergeCell ref="H56:I56"/>
    <mergeCell ref="H58:I58"/>
    <mergeCell ref="H59:I59"/>
    <mergeCell ref="H60:I60"/>
    <mergeCell ref="H57:L57"/>
    <mergeCell ref="H51:I51"/>
    <mergeCell ref="H52:I52"/>
    <mergeCell ref="H53:I53"/>
    <mergeCell ref="H54:I54"/>
    <mergeCell ref="H55:I55"/>
    <mergeCell ref="H71:I71"/>
    <mergeCell ref="H72:I72"/>
    <mergeCell ref="H74:I74"/>
    <mergeCell ref="H75:I75"/>
    <mergeCell ref="H73:L73"/>
    <mergeCell ref="H66:I66"/>
    <mergeCell ref="H68:I68"/>
    <mergeCell ref="H69:I69"/>
    <mergeCell ref="H70:I70"/>
    <mergeCell ref="H82:I82"/>
    <mergeCell ref="H83:I83"/>
    <mergeCell ref="H84:I84"/>
    <mergeCell ref="H85:I85"/>
    <mergeCell ref="H81:L81"/>
    <mergeCell ref="H76:I76"/>
    <mergeCell ref="H77:I77"/>
    <mergeCell ref="H79:I79"/>
    <mergeCell ref="H80:I80"/>
    <mergeCell ref="H78:L78"/>
    <mergeCell ref="H91:I91"/>
    <mergeCell ref="H92:I92"/>
    <mergeCell ref="H93:I93"/>
    <mergeCell ref="H94:I94"/>
    <mergeCell ref="H95:I95"/>
    <mergeCell ref="H86:I86"/>
    <mergeCell ref="H88:I88"/>
    <mergeCell ref="H89:I89"/>
    <mergeCell ref="H90:I90"/>
    <mergeCell ref="H102:I102"/>
    <mergeCell ref="H103:I103"/>
    <mergeCell ref="H104:I104"/>
    <mergeCell ref="H105:I105"/>
    <mergeCell ref="H96:I96"/>
    <mergeCell ref="H97:I97"/>
    <mergeCell ref="H98:I98"/>
    <mergeCell ref="H99:I99"/>
    <mergeCell ref="H100:I100"/>
    <mergeCell ref="H111:I111"/>
    <mergeCell ref="H112:I112"/>
    <mergeCell ref="H113:I113"/>
    <mergeCell ref="H114:I114"/>
    <mergeCell ref="H115:I115"/>
    <mergeCell ref="H106:I106"/>
    <mergeCell ref="H107:I107"/>
    <mergeCell ref="H109:I109"/>
    <mergeCell ref="H110:I110"/>
    <mergeCell ref="H130:I130"/>
    <mergeCell ref="H122:I122"/>
    <mergeCell ref="H123:I123"/>
    <mergeCell ref="H125:I125"/>
    <mergeCell ref="H124:L124"/>
    <mergeCell ref="H116:I116"/>
    <mergeCell ref="H117:I117"/>
    <mergeCell ref="H119:I119"/>
    <mergeCell ref="H120:I120"/>
    <mergeCell ref="H118:L118"/>
    <mergeCell ref="H136:I136"/>
    <mergeCell ref="H137:I137"/>
    <mergeCell ref="H138:I138"/>
    <mergeCell ref="H7:L7"/>
    <mergeCell ref="H12:L12"/>
    <mergeCell ref="H17:L17"/>
    <mergeCell ref="H28:L28"/>
    <mergeCell ref="H62:L62"/>
    <mergeCell ref="H64:L64"/>
    <mergeCell ref="H67:L67"/>
    <mergeCell ref="H87:L87"/>
    <mergeCell ref="H101:L101"/>
    <mergeCell ref="H108:L108"/>
    <mergeCell ref="H121:L121"/>
    <mergeCell ref="H131:I131"/>
    <mergeCell ref="H133:I133"/>
    <mergeCell ref="H134:I134"/>
    <mergeCell ref="H132:L132"/>
    <mergeCell ref="H135:L135"/>
    <mergeCell ref="H126:I126"/>
    <mergeCell ref="H127:I127"/>
    <mergeCell ref="H128:I128"/>
    <mergeCell ref="K10:L10"/>
    <mergeCell ref="H129:I129"/>
    <mergeCell ref="H15:I15"/>
    <mergeCell ref="H39:I39"/>
    <mergeCell ref="H31:I31"/>
    <mergeCell ref="O52:P52"/>
    <mergeCell ref="O53:P53"/>
    <mergeCell ref="O54:P54"/>
    <mergeCell ref="O55:P55"/>
    <mergeCell ref="O56:P56"/>
    <mergeCell ref="O47:P47"/>
    <mergeCell ref="O48:P48"/>
    <mergeCell ref="O49:P49"/>
    <mergeCell ref="O50:P50"/>
    <mergeCell ref="O51:P51"/>
    <mergeCell ref="H50:I50"/>
    <mergeCell ref="H41:I41"/>
    <mergeCell ref="H42:I42"/>
    <mergeCell ref="H43:I43"/>
    <mergeCell ref="H16:I16"/>
    <mergeCell ref="H18:I18"/>
    <mergeCell ref="H19:I19"/>
    <mergeCell ref="H20:I20"/>
    <mergeCell ref="H37:I37"/>
    <mergeCell ref="H38:I38"/>
    <mergeCell ref="H45:I45"/>
  </mergeCells>
  <hyperlinks>
    <hyperlink ref="A4" r:id="rId1" xr:uid="{1800194C-0D41-4511-9967-CE55F5AAE4B0}"/>
    <hyperlink ref="A3" r:id="rId2" xr:uid="{FDC6F3BC-A0E1-4B8E-A470-7E0D05F5CD90}"/>
  </hyperlinks>
  <pageMargins left="0.7" right="0.7" top="0.75" bottom="0.75" header="0.3" footer="0.3"/>
  <pageSetup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9BBE-72C8-4915-B831-7DEF51225A23}">
  <dimension ref="A1:AD32"/>
  <sheetViews>
    <sheetView workbookViewId="0">
      <selection activeCell="H8" sqref="H8"/>
    </sheetView>
  </sheetViews>
  <sheetFormatPr defaultRowHeight="15" x14ac:dyDescent="0.25"/>
  <cols>
    <col min="5" max="5" width="10.5703125" customWidth="1"/>
    <col min="7" max="7" width="9.5703125" bestFit="1" customWidth="1"/>
    <col min="8" max="8" width="9.5703125" style="27" customWidth="1"/>
    <col min="16" max="16" width="9.140625" style="27"/>
  </cols>
  <sheetData>
    <row r="1" spans="1:30" x14ac:dyDescent="0.25">
      <c r="A1" s="463" t="s">
        <v>51</v>
      </c>
      <c r="B1" s="463"/>
      <c r="C1" s="463"/>
      <c r="D1" s="463"/>
      <c r="E1" s="463"/>
    </row>
    <row r="2" spans="1:30" x14ac:dyDescent="0.25">
      <c r="A2" s="524" t="s">
        <v>443</v>
      </c>
      <c r="B2" s="524"/>
      <c r="C2" s="524"/>
      <c r="D2" s="524"/>
      <c r="E2" s="524"/>
    </row>
    <row r="3" spans="1:30" ht="15.75" thickBot="1" x14ac:dyDescent="0.3">
      <c r="A3" s="442" t="s">
        <v>444</v>
      </c>
      <c r="B3" s="442"/>
      <c r="C3" s="442"/>
      <c r="D3" s="442"/>
      <c r="E3" s="442"/>
      <c r="M3">
        <f>-LOG(4.5*10^-8)</f>
        <v>7.346787486224656</v>
      </c>
    </row>
    <row r="4" spans="1:30" ht="19.5" thickBot="1" x14ac:dyDescent="0.4">
      <c r="J4" s="388" t="s">
        <v>924</v>
      </c>
      <c r="K4" s="390"/>
      <c r="R4" s="388" t="s">
        <v>785</v>
      </c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90"/>
    </row>
    <row r="5" spans="1:30" ht="15.75" thickBot="1" x14ac:dyDescent="0.3">
      <c r="A5" s="375" t="s">
        <v>912</v>
      </c>
      <c r="B5" s="376"/>
      <c r="C5" s="376"/>
      <c r="D5" s="376"/>
      <c r="E5" s="376"/>
      <c r="F5" s="376"/>
      <c r="G5" s="377"/>
      <c r="H5" s="238"/>
      <c r="R5" s="472"/>
      <c r="S5" s="473"/>
      <c r="T5" s="476" t="s">
        <v>761</v>
      </c>
      <c r="U5" s="476"/>
      <c r="V5" s="476"/>
      <c r="W5" s="476"/>
      <c r="X5" s="476"/>
      <c r="Y5" s="476"/>
      <c r="Z5" s="476"/>
      <c r="AA5" s="476"/>
      <c r="AB5" s="476"/>
      <c r="AC5" s="476"/>
      <c r="AD5" s="477"/>
    </row>
    <row r="6" spans="1:30" ht="15.75" thickBot="1" x14ac:dyDescent="0.3">
      <c r="A6" s="521" t="s">
        <v>35</v>
      </c>
      <c r="B6" s="520"/>
      <c r="C6" s="520"/>
      <c r="D6" s="227" t="s">
        <v>55</v>
      </c>
      <c r="E6" s="520" t="s">
        <v>36</v>
      </c>
      <c r="F6" s="520"/>
      <c r="G6" s="538"/>
      <c r="H6" s="238"/>
      <c r="J6" s="342" t="s">
        <v>953</v>
      </c>
      <c r="K6" s="343"/>
      <c r="L6" s="344"/>
      <c r="N6" s="21" t="s">
        <v>1402</v>
      </c>
      <c r="R6" s="474"/>
      <c r="S6" s="475"/>
      <c r="T6" s="198" t="s">
        <v>762</v>
      </c>
      <c r="U6" s="198" t="s">
        <v>763</v>
      </c>
      <c r="V6" s="198" t="s">
        <v>764</v>
      </c>
      <c r="W6" s="198" t="s">
        <v>765</v>
      </c>
      <c r="X6" s="198" t="s">
        <v>766</v>
      </c>
      <c r="Y6" s="198" t="s">
        <v>767</v>
      </c>
      <c r="Z6" s="198" t="s">
        <v>768</v>
      </c>
      <c r="AA6" s="198" t="s">
        <v>769</v>
      </c>
      <c r="AB6" s="198" t="s">
        <v>770</v>
      </c>
      <c r="AC6" s="198" t="s">
        <v>771</v>
      </c>
      <c r="AD6" s="199" t="s">
        <v>772</v>
      </c>
    </row>
    <row r="7" spans="1:30" s="27" customFormat="1" ht="18" x14ac:dyDescent="0.25">
      <c r="A7" s="336" t="s">
        <v>915</v>
      </c>
      <c r="B7" s="337"/>
      <c r="C7" s="337"/>
      <c r="D7" s="234" t="s">
        <v>916</v>
      </c>
      <c r="E7" s="429" t="s">
        <v>914</v>
      </c>
      <c r="F7" s="431"/>
      <c r="G7" s="869"/>
      <c r="H7" s="71"/>
      <c r="J7" s="363" t="s">
        <v>1400</v>
      </c>
      <c r="K7" s="364"/>
      <c r="L7" s="365"/>
      <c r="N7" s="21" t="s">
        <v>1403</v>
      </c>
      <c r="R7" s="474"/>
      <c r="S7" s="475"/>
      <c r="T7" s="224" t="s">
        <v>792</v>
      </c>
      <c r="U7" s="224" t="s">
        <v>793</v>
      </c>
      <c r="V7" s="224" t="s">
        <v>794</v>
      </c>
      <c r="W7" s="224" t="s">
        <v>900</v>
      </c>
      <c r="X7" s="224" t="s">
        <v>901</v>
      </c>
      <c r="Y7" s="224" t="s">
        <v>795</v>
      </c>
      <c r="Z7" s="224" t="s">
        <v>835</v>
      </c>
      <c r="AA7" s="224" t="s">
        <v>796</v>
      </c>
      <c r="AB7" s="224" t="s">
        <v>797</v>
      </c>
      <c r="AC7" s="224" t="s">
        <v>798</v>
      </c>
      <c r="AD7" s="226" t="s">
        <v>799</v>
      </c>
    </row>
    <row r="8" spans="1:30" ht="18.75" thickBot="1" x14ac:dyDescent="0.3">
      <c r="A8" s="380" t="s">
        <v>920</v>
      </c>
      <c r="B8" s="381"/>
      <c r="C8" s="381"/>
      <c r="D8" s="228">
        <f>865/1000</f>
        <v>0.86499999999999999</v>
      </c>
      <c r="E8" s="934">
        <f>D8/D9</f>
        <v>1.3727360963257648E-2</v>
      </c>
      <c r="F8" s="935"/>
      <c r="G8" s="936"/>
      <c r="H8" s="71"/>
      <c r="J8" s="363" t="s">
        <v>956</v>
      </c>
      <c r="K8" s="364"/>
      <c r="L8" s="302" t="s">
        <v>1349</v>
      </c>
      <c r="M8" s="27"/>
      <c r="N8" s="27"/>
      <c r="O8" s="27"/>
      <c r="R8" s="459" t="s">
        <v>773</v>
      </c>
      <c r="S8" s="224" t="s">
        <v>786</v>
      </c>
      <c r="T8" s="185" t="s">
        <v>774</v>
      </c>
      <c r="U8" s="185" t="s">
        <v>774</v>
      </c>
      <c r="V8" s="185" t="s">
        <v>774</v>
      </c>
      <c r="W8" s="224" t="s">
        <v>775</v>
      </c>
      <c r="X8" s="185" t="s">
        <v>774</v>
      </c>
      <c r="Y8" s="185" t="s">
        <v>774</v>
      </c>
      <c r="Z8" s="185" t="s">
        <v>774</v>
      </c>
      <c r="AA8" s="185" t="s">
        <v>774</v>
      </c>
      <c r="AB8" s="185" t="s">
        <v>774</v>
      </c>
      <c r="AC8" s="185" t="s">
        <v>774</v>
      </c>
      <c r="AD8" s="193" t="s">
        <v>774</v>
      </c>
    </row>
    <row r="9" spans="1:30" ht="18.75" thickBot="1" x14ac:dyDescent="0.3">
      <c r="A9" s="380" t="s">
        <v>913</v>
      </c>
      <c r="B9" s="381"/>
      <c r="C9" s="381"/>
      <c r="D9" s="228">
        <f>H+N+O*3</f>
        <v>63.012839999999997</v>
      </c>
      <c r="E9" s="381" t="s">
        <v>919</v>
      </c>
      <c r="F9" s="381"/>
      <c r="G9" s="490"/>
      <c r="H9" s="71"/>
      <c r="J9" s="366" t="s">
        <v>957</v>
      </c>
      <c r="K9" s="367"/>
      <c r="L9" s="304" t="s">
        <v>925</v>
      </c>
      <c r="N9" s="342" t="s">
        <v>1405</v>
      </c>
      <c r="O9" s="343"/>
      <c r="P9" s="344"/>
      <c r="R9" s="459"/>
      <c r="S9" s="224" t="s">
        <v>787</v>
      </c>
      <c r="T9" s="185" t="s">
        <v>774</v>
      </c>
      <c r="U9" s="185" t="s">
        <v>774</v>
      </c>
      <c r="V9" s="185" t="s">
        <v>774</v>
      </c>
      <c r="W9" s="186" t="s">
        <v>777</v>
      </c>
      <c r="X9" s="185" t="s">
        <v>774</v>
      </c>
      <c r="Y9" s="185" t="s">
        <v>774</v>
      </c>
      <c r="Z9" s="185" t="s">
        <v>774</v>
      </c>
      <c r="AA9" s="185" t="s">
        <v>774</v>
      </c>
      <c r="AB9" s="185" t="s">
        <v>774</v>
      </c>
      <c r="AC9" s="185" t="s">
        <v>774</v>
      </c>
      <c r="AD9" s="193" t="s">
        <v>774</v>
      </c>
    </row>
    <row r="10" spans="1:30" ht="18" thickBot="1" x14ac:dyDescent="0.3">
      <c r="A10" s="380" t="s">
        <v>921</v>
      </c>
      <c r="B10" s="381"/>
      <c r="C10" s="381"/>
      <c r="D10" s="228">
        <f>70/1000</f>
        <v>7.0000000000000007E-2</v>
      </c>
      <c r="E10" s="509">
        <f>E8*(D11/D12)</f>
        <v>1.3727360963257648E-2</v>
      </c>
      <c r="F10" s="509"/>
      <c r="G10" s="615"/>
      <c r="H10" s="71"/>
      <c r="J10" s="649" t="s">
        <v>1347</v>
      </c>
      <c r="K10" s="551"/>
      <c r="L10" s="315" t="s">
        <v>1346</v>
      </c>
      <c r="M10" s="27"/>
      <c r="N10" s="746" t="s">
        <v>1404</v>
      </c>
      <c r="O10" s="747"/>
      <c r="P10" s="748"/>
      <c r="R10" s="459"/>
      <c r="S10" s="224" t="s">
        <v>788</v>
      </c>
      <c r="T10" s="185" t="s">
        <v>774</v>
      </c>
      <c r="U10" s="185" t="s">
        <v>774</v>
      </c>
      <c r="V10" s="185" t="s">
        <v>774</v>
      </c>
      <c r="W10" s="186" t="s">
        <v>777</v>
      </c>
      <c r="X10" s="185" t="s">
        <v>774</v>
      </c>
      <c r="Y10" s="185" t="s">
        <v>774</v>
      </c>
      <c r="Z10" s="185" t="s">
        <v>774</v>
      </c>
      <c r="AA10" s="185" t="s">
        <v>774</v>
      </c>
      <c r="AB10" s="185" t="s">
        <v>774</v>
      </c>
      <c r="AC10" s="185" t="s">
        <v>774</v>
      </c>
      <c r="AD10" s="193" t="s">
        <v>774</v>
      </c>
    </row>
    <row r="11" spans="1:30" ht="18" x14ac:dyDescent="0.25">
      <c r="A11" s="380" t="s">
        <v>917</v>
      </c>
      <c r="B11" s="381"/>
      <c r="C11" s="381"/>
      <c r="D11" s="228">
        <v>1</v>
      </c>
      <c r="E11" s="381" t="s">
        <v>922</v>
      </c>
      <c r="F11" s="381"/>
      <c r="G11" s="490"/>
      <c r="H11" s="71"/>
      <c r="J11" s="649" t="s">
        <v>1348</v>
      </c>
      <c r="K11" s="551"/>
      <c r="L11" s="315" t="s">
        <v>1331</v>
      </c>
      <c r="M11" s="27"/>
      <c r="N11" s="27"/>
      <c r="O11" s="27"/>
      <c r="R11" s="459"/>
      <c r="S11" s="224" t="s">
        <v>817</v>
      </c>
      <c r="T11" s="185" t="s">
        <v>774</v>
      </c>
      <c r="U11" s="185" t="s">
        <v>774</v>
      </c>
      <c r="V11" s="185" t="s">
        <v>774</v>
      </c>
      <c r="W11" s="187" t="s">
        <v>750</v>
      </c>
      <c r="X11" s="186" t="s">
        <v>777</v>
      </c>
      <c r="Y11" s="187" t="s">
        <v>750</v>
      </c>
      <c r="Z11" s="188" t="s">
        <v>778</v>
      </c>
      <c r="AA11" s="224" t="s">
        <v>775</v>
      </c>
      <c r="AB11" s="185" t="s">
        <v>774</v>
      </c>
      <c r="AC11" s="185" t="s">
        <v>774</v>
      </c>
      <c r="AD11" s="193" t="s">
        <v>774</v>
      </c>
    </row>
    <row r="12" spans="1:30" ht="18" thickBot="1" x14ac:dyDescent="0.3">
      <c r="A12" s="380" t="s">
        <v>918</v>
      </c>
      <c r="B12" s="381"/>
      <c r="C12" s="381"/>
      <c r="D12" s="228">
        <v>1</v>
      </c>
      <c r="E12" s="509">
        <f>E10/D10</f>
        <v>0.19610515661796638</v>
      </c>
      <c r="F12" s="509"/>
      <c r="G12" s="615"/>
      <c r="H12" s="71"/>
      <c r="J12" s="357" t="s">
        <v>958</v>
      </c>
      <c r="K12" s="358"/>
      <c r="L12" s="300" t="s">
        <v>926</v>
      </c>
      <c r="R12" s="459"/>
      <c r="S12" s="224" t="s">
        <v>818</v>
      </c>
      <c r="T12" s="185" t="s">
        <v>774</v>
      </c>
      <c r="U12" s="185" t="s">
        <v>774</v>
      </c>
      <c r="V12" s="185" t="s">
        <v>774</v>
      </c>
      <c r="W12" s="186" t="s">
        <v>777</v>
      </c>
      <c r="X12" s="186" t="s">
        <v>777</v>
      </c>
      <c r="Y12" s="188" t="s">
        <v>778</v>
      </c>
      <c r="Z12" s="187" t="s">
        <v>750</v>
      </c>
      <c r="AA12" s="188" t="s">
        <v>778</v>
      </c>
      <c r="AB12" s="188" t="s">
        <v>778</v>
      </c>
      <c r="AC12" s="185" t="s">
        <v>774</v>
      </c>
      <c r="AD12" s="193" t="s">
        <v>774</v>
      </c>
    </row>
    <row r="13" spans="1:30" ht="18" thickBot="1" x14ac:dyDescent="0.3">
      <c r="A13" s="932"/>
      <c r="B13" s="933"/>
      <c r="C13" s="933"/>
      <c r="D13" s="933"/>
      <c r="E13" s="222" t="s">
        <v>923</v>
      </c>
      <c r="F13" s="225">
        <f>-LOG(E12)</f>
        <v>0.70751098633586751</v>
      </c>
      <c r="G13" s="235">
        <f>F13</f>
        <v>0.70751098633586751</v>
      </c>
      <c r="H13" s="239"/>
      <c r="J13" s="232"/>
      <c r="K13" s="232"/>
      <c r="L13" s="232"/>
      <c r="R13" s="459"/>
      <c r="S13" s="224" t="s">
        <v>819</v>
      </c>
      <c r="T13" s="185" t="s">
        <v>774</v>
      </c>
      <c r="U13" s="185" t="s">
        <v>774</v>
      </c>
      <c r="V13" s="185" t="s">
        <v>774</v>
      </c>
      <c r="W13" s="185" t="s">
        <v>774</v>
      </c>
      <c r="X13" s="185" t="s">
        <v>774</v>
      </c>
      <c r="Y13" s="185" t="s">
        <v>774</v>
      </c>
      <c r="Z13" s="187" t="s">
        <v>750</v>
      </c>
      <c r="AA13" s="187" t="s">
        <v>750</v>
      </c>
      <c r="AB13" s="187" t="s">
        <v>750</v>
      </c>
      <c r="AC13" s="185" t="s">
        <v>774</v>
      </c>
      <c r="AD13" s="193" t="s">
        <v>774</v>
      </c>
    </row>
    <row r="14" spans="1:30" ht="18" thickBot="1" x14ac:dyDescent="0.3">
      <c r="J14" s="388" t="s">
        <v>952</v>
      </c>
      <c r="K14" s="389"/>
      <c r="L14" s="389"/>
      <c r="M14" s="390"/>
      <c r="R14" s="459"/>
      <c r="S14" s="224" t="s">
        <v>820</v>
      </c>
      <c r="T14" s="185" t="s">
        <v>774</v>
      </c>
      <c r="U14" s="185" t="s">
        <v>774</v>
      </c>
      <c r="V14" s="185" t="s">
        <v>774</v>
      </c>
      <c r="W14" s="187" t="s">
        <v>750</v>
      </c>
      <c r="X14" s="187" t="s">
        <v>750</v>
      </c>
      <c r="Y14" s="187" t="s">
        <v>750</v>
      </c>
      <c r="Z14" s="187" t="s">
        <v>750</v>
      </c>
      <c r="AA14" s="224" t="s">
        <v>775</v>
      </c>
      <c r="AB14" s="185" t="s">
        <v>774</v>
      </c>
      <c r="AC14" s="185" t="s">
        <v>774</v>
      </c>
      <c r="AD14" s="193" t="s">
        <v>774</v>
      </c>
    </row>
    <row r="15" spans="1:30" ht="18.75" thickBot="1" x14ac:dyDescent="0.4">
      <c r="A15" s="342" t="s">
        <v>959</v>
      </c>
      <c r="B15" s="343"/>
      <c r="C15" s="343"/>
      <c r="D15" s="343"/>
      <c r="E15" s="343"/>
      <c r="F15" s="343"/>
      <c r="G15" s="344"/>
      <c r="J15" s="947" t="s">
        <v>1401</v>
      </c>
      <c r="K15" s="948"/>
      <c r="L15" s="948"/>
      <c r="M15" s="949"/>
      <c r="N15" s="27"/>
      <c r="O15" s="27"/>
      <c r="R15" s="459"/>
      <c r="S15" s="224" t="s">
        <v>821</v>
      </c>
      <c r="T15" s="185" t="s">
        <v>774</v>
      </c>
      <c r="U15" s="185" t="s">
        <v>774</v>
      </c>
      <c r="V15" s="185" t="s">
        <v>774</v>
      </c>
      <c r="W15" s="187" t="s">
        <v>750</v>
      </c>
      <c r="X15" s="187" t="s">
        <v>750</v>
      </c>
      <c r="Y15" s="187" t="s">
        <v>750</v>
      </c>
      <c r="Z15" s="187" t="s">
        <v>750</v>
      </c>
      <c r="AA15" s="224" t="s">
        <v>775</v>
      </c>
      <c r="AB15" s="185" t="s">
        <v>774</v>
      </c>
      <c r="AC15" s="185" t="s">
        <v>774</v>
      </c>
      <c r="AD15" s="193" t="s">
        <v>774</v>
      </c>
    </row>
    <row r="16" spans="1:30" ht="17.25" x14ac:dyDescent="0.25">
      <c r="A16" s="421" t="s">
        <v>505</v>
      </c>
      <c r="B16" s="422"/>
      <c r="C16" s="422"/>
      <c r="D16" s="422"/>
      <c r="E16" s="422"/>
      <c r="F16" s="422"/>
      <c r="G16" s="540"/>
      <c r="J16" s="363" t="s">
        <v>955</v>
      </c>
      <c r="K16" s="364"/>
      <c r="L16" s="364" t="s">
        <v>954</v>
      </c>
      <c r="M16" s="365"/>
      <c r="R16" s="459"/>
      <c r="S16" s="224" t="s">
        <v>822</v>
      </c>
      <c r="T16" s="185" t="s">
        <v>774</v>
      </c>
      <c r="U16" s="185" t="s">
        <v>774</v>
      </c>
      <c r="V16" s="224" t="s">
        <v>775</v>
      </c>
      <c r="W16" s="187" t="s">
        <v>750</v>
      </c>
      <c r="X16" s="224" t="s">
        <v>775</v>
      </c>
      <c r="Y16" s="187" t="s">
        <v>750</v>
      </c>
      <c r="Z16" s="224" t="s">
        <v>775</v>
      </c>
      <c r="AA16" s="187" t="s">
        <v>750</v>
      </c>
      <c r="AB16" s="185" t="s">
        <v>774</v>
      </c>
      <c r="AC16" s="187" t="s">
        <v>750</v>
      </c>
      <c r="AD16" s="193" t="s">
        <v>774</v>
      </c>
    </row>
    <row r="17" spans="1:30" ht="17.25" x14ac:dyDescent="0.25">
      <c r="A17" s="380" t="s">
        <v>497</v>
      </c>
      <c r="B17" s="381"/>
      <c r="C17" s="381"/>
      <c r="D17" s="381" t="s">
        <v>960</v>
      </c>
      <c r="E17" s="381"/>
      <c r="F17" s="224" t="s">
        <v>730</v>
      </c>
      <c r="G17" s="226" t="s">
        <v>731</v>
      </c>
      <c r="J17" s="366" t="s">
        <v>969</v>
      </c>
      <c r="K17" s="367"/>
      <c r="L17" s="367" t="s">
        <v>966</v>
      </c>
      <c r="M17" s="368"/>
      <c r="R17" s="459"/>
      <c r="S17" s="224" t="s">
        <v>823</v>
      </c>
      <c r="T17" s="185" t="s">
        <v>774</v>
      </c>
      <c r="U17" s="185" t="s">
        <v>774</v>
      </c>
      <c r="V17" s="224" t="s">
        <v>775</v>
      </c>
      <c r="W17" s="187" t="s">
        <v>750</v>
      </c>
      <c r="X17" s="187" t="s">
        <v>750</v>
      </c>
      <c r="Y17" s="187" t="s">
        <v>750</v>
      </c>
      <c r="Z17" s="187" t="s">
        <v>750</v>
      </c>
      <c r="AA17" s="187" t="s">
        <v>750</v>
      </c>
      <c r="AB17" s="185" t="s">
        <v>774</v>
      </c>
      <c r="AC17" s="185" t="s">
        <v>774</v>
      </c>
      <c r="AD17" s="193" t="s">
        <v>774</v>
      </c>
    </row>
    <row r="18" spans="1:30" ht="18" x14ac:dyDescent="0.35">
      <c r="A18" s="380"/>
      <c r="B18" s="381"/>
      <c r="C18" s="381"/>
      <c r="D18" s="912" t="s">
        <v>1414</v>
      </c>
      <c r="E18" s="912"/>
      <c r="F18" s="224" t="s">
        <v>833</v>
      </c>
      <c r="G18" s="75" t="s">
        <v>1415</v>
      </c>
      <c r="J18" s="366" t="s">
        <v>970</v>
      </c>
      <c r="K18" s="367"/>
      <c r="L18" s="367" t="s">
        <v>971</v>
      </c>
      <c r="M18" s="368"/>
      <c r="R18" s="459"/>
      <c r="S18" s="224" t="s">
        <v>824</v>
      </c>
      <c r="T18" s="185" t="s">
        <v>774</v>
      </c>
      <c r="U18" s="185" t="s">
        <v>774</v>
      </c>
      <c r="V18" s="185" t="s">
        <v>774</v>
      </c>
      <c r="W18" s="187" t="s">
        <v>750</v>
      </c>
      <c r="X18" s="187" t="s">
        <v>750</v>
      </c>
      <c r="Y18" s="187" t="s">
        <v>750</v>
      </c>
      <c r="Z18" s="187" t="s">
        <v>750</v>
      </c>
      <c r="AA18" s="187" t="s">
        <v>750</v>
      </c>
      <c r="AB18" s="185" t="s">
        <v>774</v>
      </c>
      <c r="AC18" s="185" t="s">
        <v>774</v>
      </c>
      <c r="AD18" s="193" t="s">
        <v>774</v>
      </c>
    </row>
    <row r="19" spans="1:30" ht="18.75" thickBot="1" x14ac:dyDescent="0.4">
      <c r="A19" s="366" t="s">
        <v>523</v>
      </c>
      <c r="B19" s="367"/>
      <c r="C19" s="367"/>
      <c r="D19" s="381">
        <v>1</v>
      </c>
      <c r="E19" s="381"/>
      <c r="F19" s="224">
        <v>1</v>
      </c>
      <c r="G19" s="226">
        <v>1</v>
      </c>
      <c r="J19" s="357" t="s">
        <v>972</v>
      </c>
      <c r="K19" s="358"/>
      <c r="L19" s="358" t="s">
        <v>973</v>
      </c>
      <c r="M19" s="359"/>
      <c r="R19" s="459"/>
      <c r="S19" s="224" t="s">
        <v>825</v>
      </c>
      <c r="T19" s="185" t="s">
        <v>774</v>
      </c>
      <c r="U19" s="185" t="s">
        <v>774</v>
      </c>
      <c r="V19" s="185" t="s">
        <v>774</v>
      </c>
      <c r="W19" s="187" t="s">
        <v>750</v>
      </c>
      <c r="X19" s="187" t="s">
        <v>750</v>
      </c>
      <c r="Y19" s="187" t="s">
        <v>750</v>
      </c>
      <c r="Z19" s="187" t="s">
        <v>750</v>
      </c>
      <c r="AA19" s="187" t="s">
        <v>750</v>
      </c>
      <c r="AB19" s="185" t="s">
        <v>774</v>
      </c>
      <c r="AC19" s="185" t="s">
        <v>774</v>
      </c>
      <c r="AD19" s="193" t="s">
        <v>774</v>
      </c>
    </row>
    <row r="20" spans="1:30" ht="18" thickBot="1" x14ac:dyDescent="0.3">
      <c r="A20" s="366" t="s">
        <v>510</v>
      </c>
      <c r="B20" s="367"/>
      <c r="C20" s="367"/>
      <c r="D20" s="500">
        <v>0.2</v>
      </c>
      <c r="E20" s="500"/>
      <c r="F20" s="224">
        <v>0</v>
      </c>
      <c r="G20" s="226">
        <v>0</v>
      </c>
      <c r="R20" s="459"/>
      <c r="S20" s="224" t="s">
        <v>826</v>
      </c>
      <c r="T20" s="185" t="s">
        <v>774</v>
      </c>
      <c r="U20" s="185" t="s">
        <v>774</v>
      </c>
      <c r="V20" s="185" t="s">
        <v>774</v>
      </c>
      <c r="W20" s="187" t="s">
        <v>750</v>
      </c>
      <c r="X20" s="187" t="s">
        <v>750</v>
      </c>
      <c r="Y20" s="187" t="s">
        <v>750</v>
      </c>
      <c r="Z20" s="187" t="s">
        <v>750</v>
      </c>
      <c r="AA20" s="185" t="s">
        <v>774</v>
      </c>
      <c r="AB20" s="185" t="s">
        <v>774</v>
      </c>
      <c r="AC20" s="185" t="s">
        <v>774</v>
      </c>
      <c r="AD20" s="193" t="s">
        <v>774</v>
      </c>
    </row>
    <row r="21" spans="1:30" ht="18.75" thickBot="1" x14ac:dyDescent="0.4">
      <c r="A21" s="397" t="s">
        <v>961</v>
      </c>
      <c r="B21" s="398"/>
      <c r="C21" s="803"/>
      <c r="D21" s="429">
        <v>-1</v>
      </c>
      <c r="E21" s="432"/>
      <c r="F21" s="224">
        <v>1</v>
      </c>
      <c r="G21" s="226">
        <v>1</v>
      </c>
      <c r="J21" s="952" t="s">
        <v>951</v>
      </c>
      <c r="K21" s="953"/>
      <c r="L21" s="953"/>
      <c r="M21" s="953"/>
      <c r="N21" s="953"/>
      <c r="O21" s="953"/>
      <c r="P21" s="954"/>
      <c r="R21" s="459"/>
      <c r="S21" s="224" t="s">
        <v>827</v>
      </c>
      <c r="T21" s="185" t="s">
        <v>774</v>
      </c>
      <c r="U21" s="185" t="s">
        <v>774</v>
      </c>
      <c r="V21" s="188" t="s">
        <v>778</v>
      </c>
      <c r="W21" s="187" t="s">
        <v>750</v>
      </c>
      <c r="X21" s="187" t="s">
        <v>750</v>
      </c>
      <c r="Y21" s="187" t="s">
        <v>750</v>
      </c>
      <c r="Z21" s="224" t="s">
        <v>775</v>
      </c>
      <c r="AA21" s="224" t="s">
        <v>775</v>
      </c>
      <c r="AB21" s="185" t="s">
        <v>774</v>
      </c>
      <c r="AC21" s="185" t="s">
        <v>774</v>
      </c>
      <c r="AD21" s="226" t="s">
        <v>775</v>
      </c>
    </row>
    <row r="22" spans="1:30" ht="18" x14ac:dyDescent="0.25">
      <c r="A22" s="400"/>
      <c r="B22" s="401"/>
      <c r="C22" s="804"/>
      <c r="D22" s="381" t="s">
        <v>372</v>
      </c>
      <c r="E22" s="381"/>
      <c r="F22" s="224" t="s">
        <v>372</v>
      </c>
      <c r="G22" s="226" t="s">
        <v>372</v>
      </c>
      <c r="J22" s="955" t="s">
        <v>134</v>
      </c>
      <c r="K22" s="956"/>
      <c r="L22" s="959" t="s">
        <v>576</v>
      </c>
      <c r="M22" s="956"/>
      <c r="N22" s="237" t="s">
        <v>938</v>
      </c>
      <c r="O22" s="237" t="s">
        <v>939</v>
      </c>
      <c r="P22" s="243" t="s">
        <v>940</v>
      </c>
      <c r="R22" s="459"/>
      <c r="S22" s="224" t="s">
        <v>828</v>
      </c>
      <c r="T22" s="185" t="s">
        <v>774</v>
      </c>
      <c r="U22" s="188" t="s">
        <v>778</v>
      </c>
      <c r="V22" s="187" t="s">
        <v>750</v>
      </c>
      <c r="W22" s="187" t="s">
        <v>750</v>
      </c>
      <c r="X22" s="187" t="s">
        <v>750</v>
      </c>
      <c r="Y22" s="187" t="s">
        <v>750</v>
      </c>
      <c r="Z22" s="187" t="s">
        <v>750</v>
      </c>
      <c r="AA22" s="187" t="s">
        <v>750</v>
      </c>
      <c r="AB22" s="186" t="s">
        <v>777</v>
      </c>
      <c r="AC22" s="185" t="s">
        <v>774</v>
      </c>
      <c r="AD22" s="193" t="s">
        <v>774</v>
      </c>
    </row>
    <row r="23" spans="1:30" ht="18" x14ac:dyDescent="0.25">
      <c r="A23" s="868" t="s">
        <v>545</v>
      </c>
      <c r="B23" s="535"/>
      <c r="C23" s="535"/>
      <c r="D23" s="941" t="str">
        <f>CONCATENATE(D20," + ",D19*D21,D22)</f>
        <v>0.2 + -1x</v>
      </c>
      <c r="E23" s="942"/>
      <c r="F23" s="146" t="str">
        <f>CONCATENATE(F20," + ",F19*F21,F22)</f>
        <v>0 + 1x</v>
      </c>
      <c r="G23" s="147" t="str">
        <f>CONCATENATE(G20," + ",G19*G21,G22)</f>
        <v>0 + 1x</v>
      </c>
      <c r="J23" s="937" t="s">
        <v>927</v>
      </c>
      <c r="K23" s="938"/>
      <c r="L23" s="950" t="s">
        <v>941</v>
      </c>
      <c r="M23" s="938"/>
      <c r="N23" s="236">
        <v>4.7560000000000002</v>
      </c>
      <c r="O23" s="236" t="s">
        <v>775</v>
      </c>
      <c r="P23" s="244" t="s">
        <v>775</v>
      </c>
      <c r="R23" s="459"/>
      <c r="S23" s="224" t="s">
        <v>829</v>
      </c>
      <c r="T23" s="188" t="s">
        <v>778</v>
      </c>
      <c r="U23" s="188" t="s">
        <v>778</v>
      </c>
      <c r="V23" s="187" t="s">
        <v>750</v>
      </c>
      <c r="W23" s="187" t="s">
        <v>750</v>
      </c>
      <c r="X23" s="187" t="s">
        <v>750</v>
      </c>
      <c r="Y23" s="187" t="s">
        <v>750</v>
      </c>
      <c r="Z23" s="187" t="s">
        <v>750</v>
      </c>
      <c r="AA23" s="187" t="s">
        <v>750</v>
      </c>
      <c r="AB23" s="187" t="s">
        <v>750</v>
      </c>
      <c r="AC23" s="185" t="s">
        <v>774</v>
      </c>
      <c r="AD23" s="193" t="s">
        <v>774</v>
      </c>
    </row>
    <row r="24" spans="1:30" ht="18.75" thickBot="1" x14ac:dyDescent="0.3">
      <c r="A24" s="913" t="s">
        <v>962</v>
      </c>
      <c r="B24" s="914"/>
      <c r="C24" s="914"/>
      <c r="D24" s="524" t="str">
        <f>_xlfn.CONCAT("((",F23,")^",F19,"*(",G23,")^",G19,")/(",D23,")^",D19)</f>
        <v>((0 + 1x)^1*(0 + 1x)^1)/(0.2 + -1x)^1</v>
      </c>
      <c r="E24" s="524"/>
      <c r="F24" s="524"/>
      <c r="G24" s="602"/>
      <c r="J24" s="937" t="s">
        <v>928</v>
      </c>
      <c r="K24" s="938"/>
      <c r="L24" s="950" t="s">
        <v>942</v>
      </c>
      <c r="M24" s="938"/>
      <c r="N24" s="236">
        <v>4.2039999999999997</v>
      </c>
      <c r="O24" s="236" t="s">
        <v>775</v>
      </c>
      <c r="P24" s="244" t="s">
        <v>775</v>
      </c>
      <c r="R24" s="478"/>
      <c r="S24" s="222" t="s">
        <v>789</v>
      </c>
      <c r="T24" s="194" t="s">
        <v>750</v>
      </c>
      <c r="U24" s="194" t="s">
        <v>750</v>
      </c>
      <c r="V24" s="194" t="s">
        <v>750</v>
      </c>
      <c r="W24" s="194" t="s">
        <v>750</v>
      </c>
      <c r="X24" s="194" t="s">
        <v>750</v>
      </c>
      <c r="Y24" s="222" t="s">
        <v>775</v>
      </c>
      <c r="Z24" s="194" t="s">
        <v>750</v>
      </c>
      <c r="AA24" s="194" t="s">
        <v>750</v>
      </c>
      <c r="AB24" s="195" t="s">
        <v>778</v>
      </c>
      <c r="AC24" s="195" t="s">
        <v>778</v>
      </c>
      <c r="AD24" s="196" t="s">
        <v>774</v>
      </c>
    </row>
    <row r="25" spans="1:30" ht="18.75" thickBot="1" x14ac:dyDescent="0.3">
      <c r="A25" s="913" t="s">
        <v>963</v>
      </c>
      <c r="B25" s="914"/>
      <c r="C25" s="914"/>
      <c r="D25" s="915">
        <f>4*10^-4</f>
        <v>4.0000000000000002E-4</v>
      </c>
      <c r="E25" s="915"/>
      <c r="F25" s="943"/>
      <c r="G25" s="944"/>
      <c r="J25" s="937" t="s">
        <v>929</v>
      </c>
      <c r="K25" s="938"/>
      <c r="L25" s="950" t="s">
        <v>943</v>
      </c>
      <c r="M25" s="938"/>
      <c r="N25" s="236">
        <v>4.83</v>
      </c>
      <c r="O25" s="236" t="s">
        <v>775</v>
      </c>
      <c r="P25" s="244" t="s">
        <v>775</v>
      </c>
      <c r="R25" s="479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1"/>
    </row>
    <row r="26" spans="1:30" ht="18" x14ac:dyDescent="0.25">
      <c r="A26" s="366" t="s">
        <v>964</v>
      </c>
      <c r="B26" s="367"/>
      <c r="C26" s="367"/>
      <c r="D26" s="233" t="s">
        <v>965</v>
      </c>
      <c r="E26" s="241">
        <f>(D25*D20)^(1/(F19+G19))</f>
        <v>8.9442719099991595E-3</v>
      </c>
      <c r="F26" s="224" t="s">
        <v>967</v>
      </c>
      <c r="G26" s="240">
        <f>D20-E26</f>
        <v>0.19105572809000085</v>
      </c>
      <c r="J26" s="957" t="s">
        <v>930</v>
      </c>
      <c r="K26" s="958"/>
      <c r="L26" s="950" t="s">
        <v>944</v>
      </c>
      <c r="M26" s="938"/>
      <c r="N26" s="236">
        <v>4.5199999999999996</v>
      </c>
      <c r="O26" s="236" t="s">
        <v>775</v>
      </c>
      <c r="P26" s="244" t="s">
        <v>775</v>
      </c>
      <c r="R26" s="189" t="s">
        <v>774</v>
      </c>
      <c r="S26" s="197" t="s">
        <v>779</v>
      </c>
      <c r="T26" s="482" t="s">
        <v>782</v>
      </c>
      <c r="U26" s="482"/>
      <c r="V26" s="482"/>
      <c r="W26" s="483"/>
      <c r="X26" s="484"/>
      <c r="Y26" s="485"/>
      <c r="Z26" s="485"/>
      <c r="AA26" s="485"/>
      <c r="AB26" s="485"/>
      <c r="AC26" s="485"/>
      <c r="AD26" s="486"/>
    </row>
    <row r="27" spans="1:30" ht="18" x14ac:dyDescent="0.25">
      <c r="A27" s="649" t="s">
        <v>923</v>
      </c>
      <c r="B27" s="550"/>
      <c r="C27" s="550"/>
      <c r="D27" s="442">
        <f>-LOG(E26)</f>
        <v>2.0484550065040281</v>
      </c>
      <c r="E27" s="442"/>
      <c r="F27" s="945">
        <f>D27</f>
        <v>2.0484550065040281</v>
      </c>
      <c r="G27" s="946"/>
      <c r="J27" s="937" t="s">
        <v>931</v>
      </c>
      <c r="K27" s="938"/>
      <c r="L27" s="950" t="s">
        <v>945</v>
      </c>
      <c r="M27" s="938"/>
      <c r="N27" s="236">
        <v>4.6900000000000004</v>
      </c>
      <c r="O27" s="236" t="s">
        <v>775</v>
      </c>
      <c r="P27" s="244" t="s">
        <v>775</v>
      </c>
      <c r="R27" s="190" t="s">
        <v>778</v>
      </c>
      <c r="S27" s="224" t="s">
        <v>779</v>
      </c>
      <c r="T27" s="367" t="s">
        <v>783</v>
      </c>
      <c r="U27" s="367"/>
      <c r="V27" s="367"/>
      <c r="W27" s="368"/>
      <c r="X27" s="484"/>
      <c r="Y27" s="485"/>
      <c r="Z27" s="485"/>
      <c r="AA27" s="485"/>
      <c r="AB27" s="485"/>
      <c r="AC27" s="485"/>
      <c r="AD27" s="486"/>
    </row>
    <row r="28" spans="1:30" ht="18.75" thickBot="1" x14ac:dyDescent="0.3">
      <c r="A28" s="357" t="s">
        <v>968</v>
      </c>
      <c r="B28" s="358"/>
      <c r="C28" s="358"/>
      <c r="D28" s="358"/>
      <c r="E28" s="358"/>
      <c r="F28" s="358"/>
      <c r="G28" s="359"/>
      <c r="J28" s="937" t="s">
        <v>932</v>
      </c>
      <c r="K28" s="938"/>
      <c r="L28" s="950" t="s">
        <v>946</v>
      </c>
      <c r="M28" s="938"/>
      <c r="N28" s="236">
        <v>1.25</v>
      </c>
      <c r="O28" s="236">
        <v>3.81</v>
      </c>
      <c r="P28" s="244" t="s">
        <v>775</v>
      </c>
      <c r="R28" s="191" t="s">
        <v>750</v>
      </c>
      <c r="S28" s="224" t="s">
        <v>779</v>
      </c>
      <c r="T28" s="367" t="s">
        <v>784</v>
      </c>
      <c r="U28" s="367"/>
      <c r="V28" s="367"/>
      <c r="W28" s="368"/>
      <c r="X28" s="484"/>
      <c r="Y28" s="485"/>
      <c r="Z28" s="485"/>
      <c r="AA28" s="485"/>
      <c r="AB28" s="485"/>
      <c r="AC28" s="485"/>
      <c r="AD28" s="486"/>
    </row>
    <row r="29" spans="1:30" ht="18" x14ac:dyDescent="0.25">
      <c r="J29" s="937" t="s">
        <v>933</v>
      </c>
      <c r="K29" s="938"/>
      <c r="L29" s="950" t="s">
        <v>947</v>
      </c>
      <c r="M29" s="938"/>
      <c r="N29" s="236">
        <v>2.16</v>
      </c>
      <c r="O29" s="236">
        <v>7.21</v>
      </c>
      <c r="P29" s="244">
        <v>12.32</v>
      </c>
      <c r="R29" s="223" t="s">
        <v>775</v>
      </c>
      <c r="S29" s="224" t="s">
        <v>779</v>
      </c>
      <c r="T29" s="367" t="s">
        <v>780</v>
      </c>
      <c r="U29" s="367"/>
      <c r="V29" s="367"/>
      <c r="W29" s="368"/>
      <c r="X29" s="484"/>
      <c r="Y29" s="485"/>
      <c r="Z29" s="485"/>
      <c r="AA29" s="485"/>
      <c r="AB29" s="485"/>
      <c r="AC29" s="485"/>
      <c r="AD29" s="486"/>
    </row>
    <row r="30" spans="1:30" ht="18.75" customHeight="1" thickBot="1" x14ac:dyDescent="0.3">
      <c r="J30" s="937" t="s">
        <v>934</v>
      </c>
      <c r="K30" s="938"/>
      <c r="L30" s="950" t="s">
        <v>948</v>
      </c>
      <c r="M30" s="938"/>
      <c r="N30" s="236">
        <v>4.87</v>
      </c>
      <c r="O30" s="236" t="s">
        <v>775</v>
      </c>
      <c r="P30" s="244" t="s">
        <v>775</v>
      </c>
      <c r="R30" s="192" t="s">
        <v>777</v>
      </c>
      <c r="S30" s="222" t="s">
        <v>779</v>
      </c>
      <c r="T30" s="358" t="s">
        <v>781</v>
      </c>
      <c r="U30" s="358"/>
      <c r="V30" s="358"/>
      <c r="W30" s="359"/>
      <c r="X30" s="487"/>
      <c r="Y30" s="488"/>
      <c r="Z30" s="488"/>
      <c r="AA30" s="488"/>
      <c r="AB30" s="488"/>
      <c r="AC30" s="488"/>
      <c r="AD30" s="489"/>
    </row>
    <row r="31" spans="1:30" ht="18" x14ac:dyDescent="0.25">
      <c r="J31" s="937" t="s">
        <v>935</v>
      </c>
      <c r="K31" s="938"/>
      <c r="L31" s="950" t="s">
        <v>949</v>
      </c>
      <c r="M31" s="938"/>
      <c r="N31" s="242" t="s">
        <v>936</v>
      </c>
      <c r="O31" s="236">
        <v>1.99</v>
      </c>
      <c r="P31" s="244" t="s">
        <v>775</v>
      </c>
    </row>
    <row r="32" spans="1:30" ht="18.75" thickBot="1" x14ac:dyDescent="0.3">
      <c r="J32" s="939" t="s">
        <v>937</v>
      </c>
      <c r="K32" s="940"/>
      <c r="L32" s="951" t="s">
        <v>950</v>
      </c>
      <c r="M32" s="940"/>
      <c r="N32" s="245">
        <v>5.03</v>
      </c>
      <c r="O32" s="245" t="s">
        <v>775</v>
      </c>
      <c r="P32" s="246" t="s">
        <v>775</v>
      </c>
    </row>
  </sheetData>
  <mergeCells count="97">
    <mergeCell ref="J29:K29"/>
    <mergeCell ref="J21:P21"/>
    <mergeCell ref="J22:K22"/>
    <mergeCell ref="J23:K23"/>
    <mergeCell ref="J24:K24"/>
    <mergeCell ref="J25:K25"/>
    <mergeCell ref="J26:K26"/>
    <mergeCell ref="J27:K27"/>
    <mergeCell ref="L27:M27"/>
    <mergeCell ref="L28:M28"/>
    <mergeCell ref="L29:M29"/>
    <mergeCell ref="L22:M22"/>
    <mergeCell ref="L23:M23"/>
    <mergeCell ref="L24:M24"/>
    <mergeCell ref="L25:M25"/>
    <mergeCell ref="L26:M26"/>
    <mergeCell ref="L30:M30"/>
    <mergeCell ref="L31:M31"/>
    <mergeCell ref="L32:M32"/>
    <mergeCell ref="T30:W30"/>
    <mergeCell ref="T26:W26"/>
    <mergeCell ref="R4:AD4"/>
    <mergeCell ref="R5:S7"/>
    <mergeCell ref="T5:AD5"/>
    <mergeCell ref="R8:R24"/>
    <mergeCell ref="L17:M17"/>
    <mergeCell ref="L18:M18"/>
    <mergeCell ref="J14:M14"/>
    <mergeCell ref="J19:K19"/>
    <mergeCell ref="L19:M19"/>
    <mergeCell ref="J18:K18"/>
    <mergeCell ref="J10:K10"/>
    <mergeCell ref="J11:K11"/>
    <mergeCell ref="J7:L7"/>
    <mergeCell ref="J15:M15"/>
    <mergeCell ref="N9:P9"/>
    <mergeCell ref="N10:P10"/>
    <mergeCell ref="R25:AD25"/>
    <mergeCell ref="X26:AD30"/>
    <mergeCell ref="T27:W27"/>
    <mergeCell ref="T28:W28"/>
    <mergeCell ref="T29:W29"/>
    <mergeCell ref="J30:K30"/>
    <mergeCell ref="J31:K31"/>
    <mergeCell ref="J32:K32"/>
    <mergeCell ref="A23:C23"/>
    <mergeCell ref="D23:E23"/>
    <mergeCell ref="A24:C24"/>
    <mergeCell ref="D24:G24"/>
    <mergeCell ref="A25:C25"/>
    <mergeCell ref="D25:E25"/>
    <mergeCell ref="F25:G25"/>
    <mergeCell ref="A26:C26"/>
    <mergeCell ref="A27:C27"/>
    <mergeCell ref="D27:E27"/>
    <mergeCell ref="F27:G27"/>
    <mergeCell ref="A28:G28"/>
    <mergeCell ref="J28:K28"/>
    <mergeCell ref="A19:C19"/>
    <mergeCell ref="D19:E19"/>
    <mergeCell ref="A20:C20"/>
    <mergeCell ref="D20:E20"/>
    <mergeCell ref="D22:E22"/>
    <mergeCell ref="A21:C22"/>
    <mergeCell ref="D21:E21"/>
    <mergeCell ref="J16:K16"/>
    <mergeCell ref="J17:K17"/>
    <mergeCell ref="L16:M16"/>
    <mergeCell ref="A12:C12"/>
    <mergeCell ref="A5:G5"/>
    <mergeCell ref="E9:G9"/>
    <mergeCell ref="E10:G10"/>
    <mergeCell ref="E11:G11"/>
    <mergeCell ref="E12:G12"/>
    <mergeCell ref="A11:C11"/>
    <mergeCell ref="A15:G15"/>
    <mergeCell ref="A16:G16"/>
    <mergeCell ref="A17:C18"/>
    <mergeCell ref="D17:E17"/>
    <mergeCell ref="D18:E18"/>
    <mergeCell ref="A9:C9"/>
    <mergeCell ref="A10:C10"/>
    <mergeCell ref="A13:D13"/>
    <mergeCell ref="J4:K4"/>
    <mergeCell ref="J6:L6"/>
    <mergeCell ref="J9:K9"/>
    <mergeCell ref="J8:K8"/>
    <mergeCell ref="J12:K12"/>
    <mergeCell ref="E7:G7"/>
    <mergeCell ref="E8:G8"/>
    <mergeCell ref="E6:G6"/>
    <mergeCell ref="A8:C8"/>
    <mergeCell ref="A1:E1"/>
    <mergeCell ref="A2:E2"/>
    <mergeCell ref="A3:E3"/>
    <mergeCell ref="A6:C6"/>
    <mergeCell ref="A7:C7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58526-9181-4A59-83BE-C645EA6E5152}">
  <dimension ref="A1:AF126"/>
  <sheetViews>
    <sheetView topLeftCell="A7" workbookViewId="0">
      <selection activeCell="I37" sqref="I37"/>
    </sheetView>
  </sheetViews>
  <sheetFormatPr defaultRowHeight="15" x14ac:dyDescent="0.25"/>
  <cols>
    <col min="8" max="8" width="9.140625" style="27"/>
    <col min="9" max="9" width="9.140625" style="4"/>
  </cols>
  <sheetData>
    <row r="1" spans="1:32" ht="15.75" thickBot="1" x14ac:dyDescent="0.3">
      <c r="A1" s="463" t="s">
        <v>51</v>
      </c>
      <c r="B1" s="463"/>
      <c r="C1" s="463"/>
      <c r="D1" s="463"/>
      <c r="E1" s="463"/>
    </row>
    <row r="2" spans="1:32" ht="15.75" thickBot="1" x14ac:dyDescent="0.3">
      <c r="A2" s="524" t="s">
        <v>443</v>
      </c>
      <c r="B2" s="524"/>
      <c r="C2" s="524"/>
      <c r="D2" s="524"/>
      <c r="E2" s="524"/>
      <c r="M2" s="342" t="s">
        <v>876</v>
      </c>
      <c r="N2" s="343"/>
      <c r="O2" s="343"/>
      <c r="P2" s="343"/>
      <c r="Q2" s="343"/>
      <c r="R2" s="344"/>
      <c r="T2" s="388" t="s">
        <v>785</v>
      </c>
      <c r="U2" s="389"/>
      <c r="V2" s="389"/>
      <c r="W2" s="389"/>
      <c r="X2" s="389"/>
      <c r="Y2" s="389"/>
      <c r="Z2" s="389"/>
      <c r="AA2" s="389"/>
      <c r="AB2" s="389"/>
      <c r="AC2" s="389"/>
      <c r="AD2" s="389"/>
      <c r="AE2" s="389"/>
      <c r="AF2" s="390"/>
    </row>
    <row r="3" spans="1:32" x14ac:dyDescent="0.25">
      <c r="A3" s="442" t="s">
        <v>444</v>
      </c>
      <c r="B3" s="442"/>
      <c r="C3" s="442"/>
      <c r="D3" s="442"/>
      <c r="E3" s="442"/>
      <c r="M3" s="947" t="s">
        <v>878</v>
      </c>
      <c r="N3" s="948"/>
      <c r="O3" s="948"/>
      <c r="P3" s="948"/>
      <c r="Q3" s="948"/>
      <c r="R3" s="949"/>
      <c r="T3" s="472"/>
      <c r="U3" s="473"/>
      <c r="V3" s="476" t="s">
        <v>761</v>
      </c>
      <c r="W3" s="476"/>
      <c r="X3" s="476"/>
      <c r="Y3" s="476"/>
      <c r="Z3" s="476"/>
      <c r="AA3" s="476"/>
      <c r="AB3" s="476"/>
      <c r="AC3" s="476"/>
      <c r="AD3" s="476"/>
      <c r="AE3" s="476"/>
      <c r="AF3" s="477"/>
    </row>
    <row r="4" spans="1:32" x14ac:dyDescent="0.25">
      <c r="M4" s="819" t="s">
        <v>879</v>
      </c>
      <c r="N4" s="789"/>
      <c r="O4" s="789"/>
      <c r="P4" s="789"/>
      <c r="Q4" s="789"/>
      <c r="R4" s="790"/>
      <c r="T4" s="474"/>
      <c r="U4" s="475"/>
      <c r="V4" s="198" t="s">
        <v>762</v>
      </c>
      <c r="W4" s="198" t="s">
        <v>763</v>
      </c>
      <c r="X4" s="198" t="s">
        <v>764</v>
      </c>
      <c r="Y4" s="198" t="s">
        <v>765</v>
      </c>
      <c r="Z4" s="198" t="s">
        <v>766</v>
      </c>
      <c r="AA4" s="198" t="s">
        <v>767</v>
      </c>
      <c r="AB4" s="198" t="s">
        <v>768</v>
      </c>
      <c r="AC4" s="198" t="s">
        <v>769</v>
      </c>
      <c r="AD4" s="198" t="s">
        <v>770</v>
      </c>
      <c r="AE4" s="198" t="s">
        <v>771</v>
      </c>
      <c r="AF4" s="199" t="s">
        <v>772</v>
      </c>
    </row>
    <row r="5" spans="1:32" ht="18.75" thickBot="1" x14ac:dyDescent="0.3">
      <c r="M5" s="819" t="s">
        <v>881</v>
      </c>
      <c r="N5" s="826"/>
      <c r="O5" s="826"/>
      <c r="P5" s="826"/>
      <c r="Q5" s="826"/>
      <c r="R5" s="989"/>
      <c r="T5" s="474"/>
      <c r="U5" s="475"/>
      <c r="V5" s="220" t="s">
        <v>792</v>
      </c>
      <c r="W5" s="220" t="s">
        <v>793</v>
      </c>
      <c r="X5" s="220" t="s">
        <v>794</v>
      </c>
      <c r="Y5" s="220" t="s">
        <v>900</v>
      </c>
      <c r="Z5" s="220" t="s">
        <v>901</v>
      </c>
      <c r="AA5" s="220" t="s">
        <v>795</v>
      </c>
      <c r="AB5" s="220" t="s">
        <v>835</v>
      </c>
      <c r="AC5" s="220" t="s">
        <v>796</v>
      </c>
      <c r="AD5" s="220" t="s">
        <v>797</v>
      </c>
      <c r="AE5" s="220" t="s">
        <v>798</v>
      </c>
      <c r="AF5" s="221" t="s">
        <v>799</v>
      </c>
    </row>
    <row r="6" spans="1:32" ht="18.75" thickBot="1" x14ac:dyDescent="0.3">
      <c r="A6" s="986" t="s">
        <v>896</v>
      </c>
      <c r="B6" s="987"/>
      <c r="C6" s="987"/>
      <c r="D6" s="987"/>
      <c r="E6" s="987"/>
      <c r="F6" s="987"/>
      <c r="G6" s="988"/>
      <c r="H6" s="231"/>
      <c r="I6" s="231"/>
      <c r="M6" s="784" t="s">
        <v>880</v>
      </c>
      <c r="N6" s="785"/>
      <c r="O6" s="785"/>
      <c r="P6" s="785"/>
      <c r="Q6" s="785"/>
      <c r="R6" s="786"/>
      <c r="T6" s="459" t="s">
        <v>773</v>
      </c>
      <c r="U6" s="220" t="s">
        <v>786</v>
      </c>
      <c r="V6" s="185" t="s">
        <v>774</v>
      </c>
      <c r="W6" s="185" t="s">
        <v>774</v>
      </c>
      <c r="X6" s="185" t="s">
        <v>774</v>
      </c>
      <c r="Y6" s="220" t="s">
        <v>775</v>
      </c>
      <c r="Z6" s="185" t="s">
        <v>774</v>
      </c>
      <c r="AA6" s="185" t="s">
        <v>774</v>
      </c>
      <c r="AB6" s="185" t="s">
        <v>774</v>
      </c>
      <c r="AC6" s="185" t="s">
        <v>774</v>
      </c>
      <c r="AD6" s="185" t="s">
        <v>774</v>
      </c>
      <c r="AE6" s="185" t="s">
        <v>774</v>
      </c>
      <c r="AF6" s="193" t="s">
        <v>774</v>
      </c>
    </row>
    <row r="7" spans="1:32" ht="17.25" x14ac:dyDescent="0.25">
      <c r="A7" s="960" t="s">
        <v>898</v>
      </c>
      <c r="B7" s="961"/>
      <c r="C7" s="961"/>
      <c r="D7" s="422" t="s">
        <v>36</v>
      </c>
      <c r="E7" s="422"/>
      <c r="F7" s="422"/>
      <c r="G7" s="540"/>
      <c r="H7" s="178"/>
      <c r="I7" s="178"/>
      <c r="M7" s="363" t="s">
        <v>877</v>
      </c>
      <c r="N7" s="364"/>
      <c r="O7" s="364"/>
      <c r="P7" s="364"/>
      <c r="Q7" s="364"/>
      <c r="R7" s="365"/>
      <c r="T7" s="459"/>
      <c r="U7" s="220" t="s">
        <v>787</v>
      </c>
      <c r="V7" s="185" t="s">
        <v>774</v>
      </c>
      <c r="W7" s="185" t="s">
        <v>774</v>
      </c>
      <c r="X7" s="185" t="s">
        <v>774</v>
      </c>
      <c r="Y7" s="186" t="s">
        <v>777</v>
      </c>
      <c r="Z7" s="185" t="s">
        <v>774</v>
      </c>
      <c r="AA7" s="185" t="s">
        <v>774</v>
      </c>
      <c r="AB7" s="185" t="s">
        <v>774</v>
      </c>
      <c r="AC7" s="185" t="s">
        <v>774</v>
      </c>
      <c r="AD7" s="185" t="s">
        <v>774</v>
      </c>
      <c r="AE7" s="185" t="s">
        <v>774</v>
      </c>
      <c r="AF7" s="193" t="s">
        <v>774</v>
      </c>
    </row>
    <row r="8" spans="1:32" ht="17.25" x14ac:dyDescent="0.25">
      <c r="A8" s="366" t="s">
        <v>899</v>
      </c>
      <c r="B8" s="367"/>
      <c r="C8" s="21" t="s">
        <v>909</v>
      </c>
      <c r="D8" s="367" t="s">
        <v>899</v>
      </c>
      <c r="E8" s="367"/>
      <c r="F8" s="367"/>
      <c r="G8" s="368"/>
      <c r="H8" s="68"/>
      <c r="I8" s="68"/>
      <c r="M8" s="366"/>
      <c r="N8" s="367"/>
      <c r="O8" s="367"/>
      <c r="P8" s="367"/>
      <c r="Q8" s="367"/>
      <c r="R8" s="368"/>
      <c r="T8" s="459"/>
      <c r="U8" s="220" t="s">
        <v>788</v>
      </c>
      <c r="V8" s="185" t="s">
        <v>774</v>
      </c>
      <c r="W8" s="185" t="s">
        <v>774</v>
      </c>
      <c r="X8" s="185" t="s">
        <v>774</v>
      </c>
      <c r="Y8" s="186" t="s">
        <v>777</v>
      </c>
      <c r="Z8" s="185" t="s">
        <v>774</v>
      </c>
      <c r="AA8" s="185" t="s">
        <v>774</v>
      </c>
      <c r="AB8" s="185" t="s">
        <v>774</v>
      </c>
      <c r="AC8" s="185" t="s">
        <v>774</v>
      </c>
      <c r="AD8" s="185" t="s">
        <v>774</v>
      </c>
      <c r="AE8" s="185" t="s">
        <v>774</v>
      </c>
      <c r="AF8" s="193" t="s">
        <v>774</v>
      </c>
    </row>
    <row r="9" spans="1:32" ht="17.25" x14ac:dyDescent="0.25">
      <c r="A9" s="962" t="s">
        <v>197</v>
      </c>
      <c r="B9" s="963"/>
      <c r="C9" s="21">
        <v>1</v>
      </c>
      <c r="D9" s="1" t="s">
        <v>221</v>
      </c>
      <c r="E9" s="1" t="s">
        <v>226</v>
      </c>
      <c r="F9" s="1" t="s">
        <v>202</v>
      </c>
      <c r="G9" s="19" t="s">
        <v>211</v>
      </c>
      <c r="H9" s="66"/>
      <c r="I9" s="66"/>
      <c r="M9" s="366"/>
      <c r="N9" s="367"/>
      <c r="O9" s="367"/>
      <c r="P9" s="367"/>
      <c r="Q9" s="367"/>
      <c r="R9" s="368"/>
      <c r="T9" s="459"/>
      <c r="U9" s="220" t="s">
        <v>817</v>
      </c>
      <c r="V9" s="185" t="s">
        <v>774</v>
      </c>
      <c r="W9" s="185" t="s">
        <v>774</v>
      </c>
      <c r="X9" s="185" t="s">
        <v>774</v>
      </c>
      <c r="Y9" s="187" t="s">
        <v>750</v>
      </c>
      <c r="Z9" s="186" t="s">
        <v>777</v>
      </c>
      <c r="AA9" s="187" t="s">
        <v>750</v>
      </c>
      <c r="AB9" s="188" t="s">
        <v>778</v>
      </c>
      <c r="AC9" s="220" t="s">
        <v>775</v>
      </c>
      <c r="AD9" s="185" t="s">
        <v>774</v>
      </c>
      <c r="AE9" s="185" t="s">
        <v>774</v>
      </c>
      <c r="AF9" s="193" t="s">
        <v>774</v>
      </c>
    </row>
    <row r="10" spans="1:32" ht="17.25" x14ac:dyDescent="0.25">
      <c r="A10" s="962" t="s">
        <v>210</v>
      </c>
      <c r="B10" s="963"/>
      <c r="C10" s="21">
        <v>2</v>
      </c>
      <c r="D10" s="367" t="s">
        <v>909</v>
      </c>
      <c r="E10" s="367"/>
      <c r="F10" s="367"/>
      <c r="G10" s="368"/>
      <c r="H10" s="68"/>
      <c r="I10" s="68"/>
      <c r="M10" s="366"/>
      <c r="N10" s="367"/>
      <c r="O10" s="367"/>
      <c r="P10" s="367"/>
      <c r="Q10" s="367"/>
      <c r="R10" s="368"/>
      <c r="T10" s="459"/>
      <c r="U10" s="220" t="s">
        <v>818</v>
      </c>
      <c r="V10" s="185" t="s">
        <v>774</v>
      </c>
      <c r="W10" s="185" t="s">
        <v>774</v>
      </c>
      <c r="X10" s="185" t="s">
        <v>774</v>
      </c>
      <c r="Y10" s="186" t="s">
        <v>777</v>
      </c>
      <c r="Z10" s="186" t="s">
        <v>777</v>
      </c>
      <c r="AA10" s="188" t="s">
        <v>778</v>
      </c>
      <c r="AB10" s="187" t="s">
        <v>750</v>
      </c>
      <c r="AC10" s="188" t="s">
        <v>778</v>
      </c>
      <c r="AD10" s="188" t="s">
        <v>778</v>
      </c>
      <c r="AE10" s="185" t="s">
        <v>774</v>
      </c>
      <c r="AF10" s="193" t="s">
        <v>774</v>
      </c>
    </row>
    <row r="11" spans="1:32" ht="17.25" x14ac:dyDescent="0.25">
      <c r="A11" s="962" t="s">
        <v>247</v>
      </c>
      <c r="B11" s="963"/>
      <c r="C11" s="21">
        <v>3</v>
      </c>
      <c r="D11" s="3">
        <f>_xlfn.XLOOKUP(D9,$A$9:$A$29,$C$9:$C$29)</f>
        <v>9</v>
      </c>
      <c r="E11" s="3" t="e">
        <f>_xlfn.XLOOKUP(E9,$A$9:$A$29,$C$9:$C$29)</f>
        <v>#N/A</v>
      </c>
      <c r="F11" s="3">
        <f>_xlfn.XLOOKUP(F9,$A$9:$A$29,$C$9:$C$29)</f>
        <v>5</v>
      </c>
      <c r="G11" s="31">
        <f>_xlfn.XLOOKUP(G9,$A$9:$A$29,$C$9:$C$29)</f>
        <v>4</v>
      </c>
      <c r="H11" s="66"/>
      <c r="I11" s="66"/>
      <c r="M11" s="366"/>
      <c r="N11" s="367"/>
      <c r="O11" s="367"/>
      <c r="P11" s="367"/>
      <c r="Q11" s="367"/>
      <c r="R11" s="368"/>
      <c r="T11" s="459"/>
      <c r="U11" s="220" t="s">
        <v>819</v>
      </c>
      <c r="V11" s="185" t="s">
        <v>774</v>
      </c>
      <c r="W11" s="185" t="s">
        <v>774</v>
      </c>
      <c r="X11" s="185" t="s">
        <v>774</v>
      </c>
      <c r="Y11" s="185" t="s">
        <v>774</v>
      </c>
      <c r="Z11" s="185" t="s">
        <v>774</v>
      </c>
      <c r="AA11" s="185" t="s">
        <v>774</v>
      </c>
      <c r="AB11" s="187" t="s">
        <v>750</v>
      </c>
      <c r="AC11" s="187" t="s">
        <v>750</v>
      </c>
      <c r="AD11" s="187" t="s">
        <v>750</v>
      </c>
      <c r="AE11" s="185" t="s">
        <v>774</v>
      </c>
      <c r="AF11" s="193" t="s">
        <v>774</v>
      </c>
    </row>
    <row r="12" spans="1:32" ht="17.25" x14ac:dyDescent="0.25">
      <c r="A12" s="962" t="s">
        <v>211</v>
      </c>
      <c r="B12" s="963"/>
      <c r="C12" s="21">
        <v>4</v>
      </c>
      <c r="D12" s="381" t="s">
        <v>910</v>
      </c>
      <c r="E12" s="381"/>
      <c r="F12" s="381"/>
      <c r="G12" s="490"/>
      <c r="H12" s="71"/>
      <c r="I12" s="71"/>
      <c r="M12" s="366"/>
      <c r="N12" s="367"/>
      <c r="O12" s="367"/>
      <c r="P12" s="367"/>
      <c r="Q12" s="367"/>
      <c r="R12" s="368"/>
      <c r="T12" s="459"/>
      <c r="U12" s="220" t="s">
        <v>820</v>
      </c>
      <c r="V12" s="185" t="s">
        <v>774</v>
      </c>
      <c r="W12" s="185" t="s">
        <v>774</v>
      </c>
      <c r="X12" s="185" t="s">
        <v>774</v>
      </c>
      <c r="Y12" s="187" t="s">
        <v>750</v>
      </c>
      <c r="Z12" s="187" t="s">
        <v>750</v>
      </c>
      <c r="AA12" s="187" t="s">
        <v>750</v>
      </c>
      <c r="AB12" s="187" t="s">
        <v>750</v>
      </c>
      <c r="AC12" s="220" t="s">
        <v>775</v>
      </c>
      <c r="AD12" s="185" t="s">
        <v>774</v>
      </c>
      <c r="AE12" s="185" t="s">
        <v>774</v>
      </c>
      <c r="AF12" s="193" t="s">
        <v>774</v>
      </c>
    </row>
    <row r="13" spans="1:32" ht="17.25" x14ac:dyDescent="0.25">
      <c r="A13" s="962" t="s">
        <v>202</v>
      </c>
      <c r="B13" s="963"/>
      <c r="C13" s="21">
        <v>5</v>
      </c>
      <c r="D13" s="220">
        <v>1</v>
      </c>
      <c r="E13" s="220">
        <v>2</v>
      </c>
      <c r="F13" s="220">
        <v>3</v>
      </c>
      <c r="G13" s="221">
        <v>4</v>
      </c>
      <c r="H13" s="71"/>
      <c r="I13" s="71"/>
      <c r="M13" s="366"/>
      <c r="N13" s="367"/>
      <c r="O13" s="367"/>
      <c r="P13" s="367"/>
      <c r="Q13" s="367"/>
      <c r="R13" s="368"/>
      <c r="T13" s="459"/>
      <c r="U13" s="220" t="s">
        <v>821</v>
      </c>
      <c r="V13" s="185" t="s">
        <v>774</v>
      </c>
      <c r="W13" s="185" t="s">
        <v>774</v>
      </c>
      <c r="X13" s="185" t="s">
        <v>774</v>
      </c>
      <c r="Y13" s="187" t="s">
        <v>750</v>
      </c>
      <c r="Z13" s="187" t="s">
        <v>750</v>
      </c>
      <c r="AA13" s="187" t="s">
        <v>750</v>
      </c>
      <c r="AB13" s="187" t="s">
        <v>750</v>
      </c>
      <c r="AC13" s="220" t="s">
        <v>775</v>
      </c>
      <c r="AD13" s="185" t="s">
        <v>774</v>
      </c>
      <c r="AE13" s="185" t="s">
        <v>774</v>
      </c>
      <c r="AF13" s="193" t="s">
        <v>774</v>
      </c>
    </row>
    <row r="14" spans="1:32" ht="17.25" x14ac:dyDescent="0.25">
      <c r="A14" s="962" t="s">
        <v>203</v>
      </c>
      <c r="B14" s="963"/>
      <c r="C14" s="21">
        <v>6</v>
      </c>
      <c r="D14" s="229" t="str" cm="1">
        <f t="array" ref="D14:G14">_xlfn.SORTBY(D9:G9,D11:G11)</f>
        <v>Ca</v>
      </c>
      <c r="E14" s="229" t="str">
        <v>Na</v>
      </c>
      <c r="F14" s="229" t="str">
        <v>Zn</v>
      </c>
      <c r="G14" s="230" t="str">
        <v>Br</v>
      </c>
      <c r="H14" s="30"/>
      <c r="I14" s="30"/>
      <c r="M14" s="366"/>
      <c r="N14" s="367"/>
      <c r="O14" s="367"/>
      <c r="P14" s="367"/>
      <c r="Q14" s="367"/>
      <c r="R14" s="368"/>
      <c r="T14" s="459"/>
      <c r="U14" s="220" t="s">
        <v>822</v>
      </c>
      <c r="V14" s="185" t="s">
        <v>774</v>
      </c>
      <c r="W14" s="185" t="s">
        <v>774</v>
      </c>
      <c r="X14" s="220" t="s">
        <v>775</v>
      </c>
      <c r="Y14" s="187" t="s">
        <v>750</v>
      </c>
      <c r="Z14" s="220" t="s">
        <v>775</v>
      </c>
      <c r="AA14" s="187" t="s">
        <v>750</v>
      </c>
      <c r="AB14" s="220" t="s">
        <v>775</v>
      </c>
      <c r="AC14" s="187" t="s">
        <v>750</v>
      </c>
      <c r="AD14" s="185" t="s">
        <v>774</v>
      </c>
      <c r="AE14" s="187" t="s">
        <v>750</v>
      </c>
      <c r="AF14" s="193" t="s">
        <v>774</v>
      </c>
    </row>
    <row r="15" spans="1:32" ht="17.25" x14ac:dyDescent="0.25">
      <c r="A15" s="962" t="s">
        <v>204</v>
      </c>
      <c r="B15" s="963"/>
      <c r="C15" s="21">
        <v>7</v>
      </c>
      <c r="D15" s="367" t="s">
        <v>911</v>
      </c>
      <c r="E15" s="367"/>
      <c r="F15" s="367"/>
      <c r="G15" s="368"/>
      <c r="H15" s="68"/>
      <c r="I15" s="68"/>
      <c r="M15" s="366"/>
      <c r="N15" s="367"/>
      <c r="O15" s="367"/>
      <c r="P15" s="367"/>
      <c r="Q15" s="367"/>
      <c r="R15" s="368"/>
      <c r="T15" s="459"/>
      <c r="U15" s="220" t="s">
        <v>823</v>
      </c>
      <c r="V15" s="185" t="s">
        <v>774</v>
      </c>
      <c r="W15" s="185" t="s">
        <v>774</v>
      </c>
      <c r="X15" s="220" t="s">
        <v>775</v>
      </c>
      <c r="Y15" s="187" t="s">
        <v>750</v>
      </c>
      <c r="Z15" s="187" t="s">
        <v>750</v>
      </c>
      <c r="AA15" s="187" t="s">
        <v>750</v>
      </c>
      <c r="AB15" s="187" t="s">
        <v>750</v>
      </c>
      <c r="AC15" s="187" t="s">
        <v>750</v>
      </c>
      <c r="AD15" s="185" t="s">
        <v>774</v>
      </c>
      <c r="AE15" s="185" t="s">
        <v>774</v>
      </c>
      <c r="AF15" s="193" t="s">
        <v>774</v>
      </c>
    </row>
    <row r="16" spans="1:32" ht="18" thickBot="1" x14ac:dyDescent="0.3">
      <c r="A16" s="962" t="s">
        <v>216</v>
      </c>
      <c r="B16" s="963"/>
      <c r="C16" s="21">
        <v>8</v>
      </c>
      <c r="D16" s="1" t="s">
        <v>226</v>
      </c>
      <c r="E16" s="1" t="s">
        <v>202</v>
      </c>
      <c r="F16" s="1" t="s">
        <v>238</v>
      </c>
      <c r="G16" s="19" t="s">
        <v>211</v>
      </c>
      <c r="H16" s="66"/>
      <c r="I16" s="66"/>
      <c r="M16" s="357"/>
      <c r="N16" s="358"/>
      <c r="O16" s="358"/>
      <c r="P16" s="358"/>
      <c r="Q16" s="358"/>
      <c r="R16" s="359"/>
      <c r="T16" s="459"/>
      <c r="U16" s="220" t="s">
        <v>824</v>
      </c>
      <c r="V16" s="185" t="s">
        <v>774</v>
      </c>
      <c r="W16" s="185" t="s">
        <v>774</v>
      </c>
      <c r="X16" s="185" t="s">
        <v>774</v>
      </c>
      <c r="Y16" s="187" t="s">
        <v>750</v>
      </c>
      <c r="Z16" s="187" t="s">
        <v>750</v>
      </c>
      <c r="AA16" s="187" t="s">
        <v>750</v>
      </c>
      <c r="AB16" s="187" t="s">
        <v>750</v>
      </c>
      <c r="AC16" s="187" t="s">
        <v>750</v>
      </c>
      <c r="AD16" s="185" t="s">
        <v>774</v>
      </c>
      <c r="AE16" s="185" t="s">
        <v>774</v>
      </c>
      <c r="AF16" s="193" t="s">
        <v>774</v>
      </c>
    </row>
    <row r="17" spans="1:32" ht="18" thickBot="1" x14ac:dyDescent="0.3">
      <c r="A17" s="962" t="s">
        <v>221</v>
      </c>
      <c r="B17" s="963"/>
      <c r="C17" s="21">
        <v>9</v>
      </c>
      <c r="D17" s="367" t="s">
        <v>909</v>
      </c>
      <c r="E17" s="367"/>
      <c r="F17" s="367"/>
      <c r="G17" s="368"/>
      <c r="H17" s="68"/>
      <c r="I17" s="68"/>
      <c r="T17" s="459"/>
      <c r="U17" s="220" t="s">
        <v>825</v>
      </c>
      <c r="V17" s="185" t="s">
        <v>774</v>
      </c>
      <c r="W17" s="185" t="s">
        <v>774</v>
      </c>
      <c r="X17" s="185" t="s">
        <v>774</v>
      </c>
      <c r="Y17" s="187" t="s">
        <v>750</v>
      </c>
      <c r="Z17" s="187" t="s">
        <v>750</v>
      </c>
      <c r="AA17" s="187" t="s">
        <v>750</v>
      </c>
      <c r="AB17" s="187" t="s">
        <v>750</v>
      </c>
      <c r="AC17" s="187" t="s">
        <v>750</v>
      </c>
      <c r="AD17" s="185" t="s">
        <v>774</v>
      </c>
      <c r="AE17" s="185" t="s">
        <v>774</v>
      </c>
      <c r="AF17" s="193" t="s">
        <v>774</v>
      </c>
    </row>
    <row r="18" spans="1:32" ht="18" thickBot="1" x14ac:dyDescent="0.3">
      <c r="A18" s="962" t="s">
        <v>215</v>
      </c>
      <c r="B18" s="963"/>
      <c r="C18" s="21">
        <v>10</v>
      </c>
      <c r="D18" s="3" t="e">
        <f>_xlfn.XLOOKUP(D16,$A$9:$A$29,$C$9:$C$29)</f>
        <v>#N/A</v>
      </c>
      <c r="E18" s="3">
        <f>_xlfn.XLOOKUP(E16,$A$9:$A$29,$C$9:$C$29)</f>
        <v>5</v>
      </c>
      <c r="F18" s="3">
        <f>_xlfn.XLOOKUP(F16,$A$9:$A$29,$C$9:$C$29)</f>
        <v>18</v>
      </c>
      <c r="G18" s="31">
        <f>_xlfn.XLOOKUP(G16,$A$9:$A$29,$C$9:$C$29)</f>
        <v>4</v>
      </c>
      <c r="H18" s="66"/>
      <c r="I18" s="66"/>
      <c r="M18" s="342" t="s">
        <v>1408</v>
      </c>
      <c r="N18" s="343"/>
      <c r="O18" s="343"/>
      <c r="P18" s="343"/>
      <c r="Q18" s="343"/>
      <c r="R18" s="344"/>
      <c r="T18" s="459"/>
      <c r="U18" s="220" t="s">
        <v>826</v>
      </c>
      <c r="V18" s="185" t="s">
        <v>774</v>
      </c>
      <c r="W18" s="185" t="s">
        <v>774</v>
      </c>
      <c r="X18" s="185" t="s">
        <v>774</v>
      </c>
      <c r="Y18" s="187" t="s">
        <v>750</v>
      </c>
      <c r="Z18" s="187" t="s">
        <v>750</v>
      </c>
      <c r="AA18" s="187" t="s">
        <v>750</v>
      </c>
      <c r="AB18" s="187" t="s">
        <v>750</v>
      </c>
      <c r="AC18" s="185" t="s">
        <v>774</v>
      </c>
      <c r="AD18" s="185" t="s">
        <v>774</v>
      </c>
      <c r="AE18" s="185" t="s">
        <v>774</v>
      </c>
      <c r="AF18" s="193" t="s">
        <v>774</v>
      </c>
    </row>
    <row r="19" spans="1:32" ht="17.25" x14ac:dyDescent="0.25">
      <c r="A19" s="962" t="s">
        <v>217</v>
      </c>
      <c r="B19" s="963"/>
      <c r="C19" s="21">
        <v>11</v>
      </c>
      <c r="D19" s="381" t="s">
        <v>910</v>
      </c>
      <c r="E19" s="381"/>
      <c r="F19" s="381"/>
      <c r="G19" s="490"/>
      <c r="H19" s="71"/>
      <c r="I19" s="71"/>
      <c r="M19" s="363" t="s">
        <v>1409</v>
      </c>
      <c r="N19" s="364"/>
      <c r="O19" s="364"/>
      <c r="P19" s="364"/>
      <c r="Q19" s="364"/>
      <c r="R19" s="365"/>
      <c r="T19" s="459"/>
      <c r="U19" s="220" t="s">
        <v>827</v>
      </c>
      <c r="V19" s="185" t="s">
        <v>774</v>
      </c>
      <c r="W19" s="185" t="s">
        <v>774</v>
      </c>
      <c r="X19" s="188" t="s">
        <v>778</v>
      </c>
      <c r="Y19" s="187" t="s">
        <v>750</v>
      </c>
      <c r="Z19" s="187" t="s">
        <v>750</v>
      </c>
      <c r="AA19" s="187" t="s">
        <v>750</v>
      </c>
      <c r="AB19" s="220" t="s">
        <v>775</v>
      </c>
      <c r="AC19" s="220" t="s">
        <v>775</v>
      </c>
      <c r="AD19" s="185" t="s">
        <v>774</v>
      </c>
      <c r="AE19" s="185" t="s">
        <v>774</v>
      </c>
      <c r="AF19" s="221" t="s">
        <v>775</v>
      </c>
    </row>
    <row r="20" spans="1:32" ht="17.25" x14ac:dyDescent="0.25">
      <c r="A20" s="962" t="s">
        <v>218</v>
      </c>
      <c r="B20" s="963"/>
      <c r="C20" s="21">
        <v>12</v>
      </c>
      <c r="D20" s="220">
        <v>1</v>
      </c>
      <c r="E20" s="220">
        <v>2</v>
      </c>
      <c r="F20" s="220">
        <v>3</v>
      </c>
      <c r="G20" s="221">
        <v>4</v>
      </c>
      <c r="H20" s="71"/>
      <c r="I20" s="71"/>
      <c r="M20" s="366"/>
      <c r="N20" s="367"/>
      <c r="O20" s="367"/>
      <c r="P20" s="367"/>
      <c r="Q20" s="367"/>
      <c r="R20" s="368"/>
      <c r="T20" s="459"/>
      <c r="U20" s="220" t="s">
        <v>828</v>
      </c>
      <c r="V20" s="185" t="s">
        <v>774</v>
      </c>
      <c r="W20" s="188" t="s">
        <v>778</v>
      </c>
      <c r="X20" s="187" t="s">
        <v>750</v>
      </c>
      <c r="Y20" s="187" t="s">
        <v>750</v>
      </c>
      <c r="Z20" s="187" t="s">
        <v>750</v>
      </c>
      <c r="AA20" s="187" t="s">
        <v>750</v>
      </c>
      <c r="AB20" s="187" t="s">
        <v>750</v>
      </c>
      <c r="AC20" s="187" t="s">
        <v>750</v>
      </c>
      <c r="AD20" s="186" t="s">
        <v>777</v>
      </c>
      <c r="AE20" s="185" t="s">
        <v>774</v>
      </c>
      <c r="AF20" s="193" t="s">
        <v>774</v>
      </c>
    </row>
    <row r="21" spans="1:32" ht="17.25" x14ac:dyDescent="0.25">
      <c r="A21" s="962" t="s">
        <v>219</v>
      </c>
      <c r="B21" s="963"/>
      <c r="C21" s="21">
        <v>13</v>
      </c>
      <c r="D21" s="229" t="str" cm="1">
        <f t="array" ref="D21:G21">_xlfn.SORTBY(D16:G16,D18:G18,-1)</f>
        <v>Br</v>
      </c>
      <c r="E21" s="229" t="str">
        <v>Ag</v>
      </c>
      <c r="F21" s="229" t="str">
        <v>Na</v>
      </c>
      <c r="G21" s="230" t="str">
        <v>Ca</v>
      </c>
      <c r="H21" s="30"/>
      <c r="I21" s="30"/>
      <c r="M21" s="366"/>
      <c r="N21" s="367"/>
      <c r="O21" s="367"/>
      <c r="P21" s="367"/>
      <c r="Q21" s="367"/>
      <c r="R21" s="368"/>
      <c r="T21" s="459"/>
      <c r="U21" s="220" t="s">
        <v>829</v>
      </c>
      <c r="V21" s="188" t="s">
        <v>778</v>
      </c>
      <c r="W21" s="188" t="s">
        <v>778</v>
      </c>
      <c r="X21" s="187" t="s">
        <v>750</v>
      </c>
      <c r="Y21" s="187" t="s">
        <v>750</v>
      </c>
      <c r="Z21" s="187" t="s">
        <v>750</v>
      </c>
      <c r="AA21" s="187" t="s">
        <v>750</v>
      </c>
      <c r="AB21" s="187" t="s">
        <v>750</v>
      </c>
      <c r="AC21" s="187" t="s">
        <v>750</v>
      </c>
      <c r="AD21" s="187" t="s">
        <v>750</v>
      </c>
      <c r="AE21" s="185" t="s">
        <v>774</v>
      </c>
      <c r="AF21" s="193" t="s">
        <v>774</v>
      </c>
    </row>
    <row r="22" spans="1:32" ht="18" thickBot="1" x14ac:dyDescent="0.3">
      <c r="A22" s="962" t="s">
        <v>241</v>
      </c>
      <c r="B22" s="963"/>
      <c r="C22" s="21">
        <v>14</v>
      </c>
      <c r="D22" s="543"/>
      <c r="E22" s="544"/>
      <c r="F22" s="544"/>
      <c r="G22" s="618"/>
      <c r="H22" s="68"/>
      <c r="I22" s="68"/>
      <c r="M22" s="366" t="s">
        <v>1410</v>
      </c>
      <c r="N22" s="367"/>
      <c r="O22" s="367"/>
      <c r="P22" s="367"/>
      <c r="Q22" s="367"/>
      <c r="R22" s="368"/>
      <c r="T22" s="478"/>
      <c r="U22" s="218" t="s">
        <v>789</v>
      </c>
      <c r="V22" s="194" t="s">
        <v>750</v>
      </c>
      <c r="W22" s="194" t="s">
        <v>750</v>
      </c>
      <c r="X22" s="194" t="s">
        <v>750</v>
      </c>
      <c r="Y22" s="194" t="s">
        <v>750</v>
      </c>
      <c r="Z22" s="194" t="s">
        <v>750</v>
      </c>
      <c r="AA22" s="218" t="s">
        <v>775</v>
      </c>
      <c r="AB22" s="194" t="s">
        <v>750</v>
      </c>
      <c r="AC22" s="194" t="s">
        <v>750</v>
      </c>
      <c r="AD22" s="195" t="s">
        <v>778</v>
      </c>
      <c r="AE22" s="195" t="s">
        <v>778</v>
      </c>
      <c r="AF22" s="196" t="s">
        <v>774</v>
      </c>
    </row>
    <row r="23" spans="1:32" ht="15.75" thickBot="1" x14ac:dyDescent="0.3">
      <c r="A23" s="962" t="s">
        <v>273</v>
      </c>
      <c r="B23" s="963"/>
      <c r="C23" s="21">
        <v>15</v>
      </c>
      <c r="D23" s="619"/>
      <c r="E23" s="485"/>
      <c r="F23" s="485"/>
      <c r="G23" s="486"/>
      <c r="H23" s="68"/>
      <c r="I23" s="68"/>
      <c r="M23" s="366"/>
      <c r="N23" s="367"/>
      <c r="O23" s="367"/>
      <c r="P23" s="367"/>
      <c r="Q23" s="367"/>
      <c r="R23" s="368"/>
      <c r="T23" s="479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1"/>
    </row>
    <row r="24" spans="1:32" ht="15.75" thickBot="1" x14ac:dyDescent="0.3">
      <c r="A24" s="964" t="s">
        <v>897</v>
      </c>
      <c r="B24" s="965"/>
      <c r="C24" s="21">
        <v>16</v>
      </c>
      <c r="D24" s="619"/>
      <c r="E24" s="485"/>
      <c r="F24" s="485"/>
      <c r="G24" s="486"/>
      <c r="H24" s="68"/>
      <c r="I24" s="68"/>
      <c r="M24" s="357"/>
      <c r="N24" s="358"/>
      <c r="O24" s="358"/>
      <c r="P24" s="358"/>
      <c r="Q24" s="358"/>
      <c r="R24" s="359"/>
      <c r="T24" s="189" t="s">
        <v>774</v>
      </c>
      <c r="U24" s="197" t="s">
        <v>779</v>
      </c>
      <c r="V24" s="482" t="s">
        <v>782</v>
      </c>
      <c r="W24" s="482"/>
      <c r="X24" s="482"/>
      <c r="Y24" s="483"/>
      <c r="Z24" s="484"/>
      <c r="AA24" s="485"/>
      <c r="AB24" s="485"/>
      <c r="AC24" s="485"/>
      <c r="AD24" s="485"/>
      <c r="AE24" s="485"/>
      <c r="AF24" s="486"/>
    </row>
    <row r="25" spans="1:32" ht="18.75" customHeight="1" x14ac:dyDescent="0.25">
      <c r="A25" s="962" t="s">
        <v>220</v>
      </c>
      <c r="B25" s="963"/>
      <c r="C25" s="21">
        <v>17</v>
      </c>
      <c r="D25" s="619"/>
      <c r="E25" s="485"/>
      <c r="F25" s="485"/>
      <c r="G25" s="486"/>
      <c r="H25" s="68"/>
      <c r="I25" s="68"/>
      <c r="T25" s="190" t="s">
        <v>778</v>
      </c>
      <c r="U25" s="220" t="s">
        <v>779</v>
      </c>
      <c r="V25" s="367" t="s">
        <v>783</v>
      </c>
      <c r="W25" s="367"/>
      <c r="X25" s="367"/>
      <c r="Y25" s="368"/>
      <c r="Z25" s="484"/>
      <c r="AA25" s="485"/>
      <c r="AB25" s="485"/>
      <c r="AC25" s="485"/>
      <c r="AD25" s="485"/>
      <c r="AE25" s="485"/>
      <c r="AF25" s="486"/>
    </row>
    <row r="26" spans="1:32" x14ac:dyDescent="0.25">
      <c r="A26" s="962" t="s">
        <v>238</v>
      </c>
      <c r="B26" s="963"/>
      <c r="C26" s="21">
        <v>18</v>
      </c>
      <c r="D26" s="619"/>
      <c r="E26" s="485"/>
      <c r="F26" s="485"/>
      <c r="G26" s="486"/>
      <c r="H26" s="68"/>
      <c r="I26" s="68"/>
      <c r="T26" s="191" t="s">
        <v>750</v>
      </c>
      <c r="U26" s="220" t="s">
        <v>779</v>
      </c>
      <c r="V26" s="367" t="s">
        <v>784</v>
      </c>
      <c r="W26" s="367"/>
      <c r="X26" s="367"/>
      <c r="Y26" s="368"/>
      <c r="Z26" s="484"/>
      <c r="AA26" s="485"/>
      <c r="AB26" s="485"/>
      <c r="AC26" s="485"/>
      <c r="AD26" s="485"/>
      <c r="AE26" s="485"/>
      <c r="AF26" s="486"/>
    </row>
    <row r="27" spans="1:32" x14ac:dyDescent="0.25">
      <c r="A27" s="962" t="s">
        <v>271</v>
      </c>
      <c r="B27" s="963"/>
      <c r="C27" s="21">
        <v>19</v>
      </c>
      <c r="D27" s="619"/>
      <c r="E27" s="485"/>
      <c r="F27" s="485"/>
      <c r="G27" s="486"/>
      <c r="H27" s="68"/>
      <c r="I27" s="68"/>
      <c r="T27" s="219" t="s">
        <v>775</v>
      </c>
      <c r="U27" s="220" t="s">
        <v>779</v>
      </c>
      <c r="V27" s="367" t="s">
        <v>780</v>
      </c>
      <c r="W27" s="367"/>
      <c r="X27" s="367"/>
      <c r="Y27" s="368"/>
      <c r="Z27" s="484"/>
      <c r="AA27" s="485"/>
      <c r="AB27" s="485"/>
      <c r="AC27" s="485"/>
      <c r="AD27" s="485"/>
      <c r="AE27" s="485"/>
      <c r="AF27" s="486"/>
    </row>
    <row r="28" spans="1:32" ht="15.75" thickBot="1" x14ac:dyDescent="0.3">
      <c r="A28" s="962" t="s">
        <v>269</v>
      </c>
      <c r="B28" s="963"/>
      <c r="C28" s="21">
        <v>20</v>
      </c>
      <c r="D28" s="619"/>
      <c r="E28" s="485"/>
      <c r="F28" s="485"/>
      <c r="G28" s="486"/>
      <c r="H28" s="68"/>
      <c r="I28" s="68"/>
      <c r="T28" s="192" t="s">
        <v>777</v>
      </c>
      <c r="U28" s="218" t="s">
        <v>779</v>
      </c>
      <c r="V28" s="358" t="s">
        <v>781</v>
      </c>
      <c r="W28" s="358"/>
      <c r="X28" s="358"/>
      <c r="Y28" s="359"/>
      <c r="Z28" s="487"/>
      <c r="AA28" s="488"/>
      <c r="AB28" s="488"/>
      <c r="AC28" s="488"/>
      <c r="AD28" s="488"/>
      <c r="AE28" s="488"/>
      <c r="AF28" s="489"/>
    </row>
    <row r="29" spans="1:32" ht="15.75" thickBot="1" x14ac:dyDescent="0.3">
      <c r="A29" s="984" t="s">
        <v>270</v>
      </c>
      <c r="B29" s="985"/>
      <c r="C29" s="16">
        <v>21</v>
      </c>
      <c r="D29" s="802"/>
      <c r="E29" s="488"/>
      <c r="F29" s="488"/>
      <c r="G29" s="489"/>
      <c r="H29" s="68"/>
      <c r="I29" s="68"/>
    </row>
    <row r="30" spans="1:32" ht="18.75" customHeight="1" thickBot="1" x14ac:dyDescent="0.3">
      <c r="A30" s="247"/>
      <c r="B30" s="247"/>
      <c r="C30" s="66"/>
      <c r="D30" s="68"/>
      <c r="E30" s="68"/>
      <c r="F30" s="68"/>
      <c r="G30" s="68"/>
      <c r="T30" s="375" t="s">
        <v>891</v>
      </c>
      <c r="U30" s="376"/>
      <c r="V30" s="376"/>
      <c r="W30" s="376"/>
      <c r="X30" s="376"/>
      <c r="Y30" s="376"/>
      <c r="Z30" s="376"/>
      <c r="AA30" s="377"/>
    </row>
    <row r="31" spans="1:32" x14ac:dyDescent="0.25">
      <c r="A31" s="247"/>
      <c r="B31" s="990"/>
      <c r="C31" s="991"/>
      <c r="D31" s="991"/>
      <c r="E31" s="991"/>
      <c r="F31" s="992"/>
      <c r="G31" s="68"/>
      <c r="T31" s="363"/>
      <c r="U31" s="364"/>
      <c r="V31" s="364"/>
      <c r="W31" s="364"/>
      <c r="X31" s="364"/>
      <c r="Y31" s="364"/>
      <c r="Z31" s="364"/>
      <c r="AA31" s="365"/>
    </row>
    <row r="32" spans="1:32" ht="16.5" customHeight="1" x14ac:dyDescent="0.25">
      <c r="A32" s="247"/>
      <c r="B32" s="993"/>
      <c r="C32" s="994"/>
      <c r="D32" s="994"/>
      <c r="E32" s="994"/>
      <c r="F32" s="995"/>
      <c r="G32" s="68"/>
      <c r="H32"/>
      <c r="T32" s="366"/>
      <c r="U32" s="367"/>
      <c r="V32" s="367"/>
      <c r="W32" s="367"/>
      <c r="X32" s="367"/>
      <c r="Y32" s="367"/>
      <c r="Z32" s="367"/>
      <c r="AA32" s="368"/>
    </row>
    <row r="33" spans="1:27" x14ac:dyDescent="0.25">
      <c r="A33" s="247"/>
      <c r="B33" s="993"/>
      <c r="C33" s="994"/>
      <c r="D33" s="994"/>
      <c r="E33" s="994"/>
      <c r="F33" s="995"/>
      <c r="G33" s="68"/>
      <c r="T33" s="366"/>
      <c r="U33" s="367"/>
      <c r="V33" s="367"/>
      <c r="W33" s="367"/>
      <c r="X33" s="367"/>
      <c r="Y33" s="367"/>
      <c r="Z33" s="367"/>
      <c r="AA33" s="368"/>
    </row>
    <row r="34" spans="1:27" ht="15.75" customHeight="1" x14ac:dyDescent="0.25">
      <c r="A34" s="247"/>
      <c r="B34" s="993"/>
      <c r="C34" s="994"/>
      <c r="D34" s="994"/>
      <c r="E34" s="994"/>
      <c r="F34" s="995"/>
      <c r="G34" s="68"/>
      <c r="T34" s="366"/>
      <c r="U34" s="367"/>
      <c r="V34" s="367"/>
      <c r="W34" s="367"/>
      <c r="X34" s="367"/>
      <c r="Y34" s="367"/>
      <c r="Z34" s="367"/>
      <c r="AA34" s="368"/>
    </row>
    <row r="35" spans="1:27" ht="17.25" customHeight="1" thickBot="1" x14ac:dyDescent="0.3">
      <c r="A35" s="247"/>
      <c r="B35" s="993"/>
      <c r="C35" s="994"/>
      <c r="D35" s="994"/>
      <c r="E35" s="994"/>
      <c r="F35" s="995"/>
      <c r="G35" s="68"/>
      <c r="T35" s="366"/>
      <c r="U35" s="367"/>
      <c r="V35" s="367"/>
      <c r="W35" s="367"/>
      <c r="X35" s="367"/>
      <c r="Y35" s="367"/>
      <c r="Z35" s="367"/>
      <c r="AA35" s="368"/>
    </row>
    <row r="36" spans="1:27" ht="15.75" thickBot="1" x14ac:dyDescent="0.3">
      <c r="A36" s="247"/>
      <c r="B36" s="993"/>
      <c r="C36" s="994"/>
      <c r="D36" s="994"/>
      <c r="E36" s="994"/>
      <c r="F36" s="995"/>
      <c r="G36" s="68"/>
      <c r="K36" s="491" t="s">
        <v>882</v>
      </c>
      <c r="L36" s="492"/>
      <c r="M36" s="492"/>
      <c r="N36" s="492"/>
      <c r="O36" s="492"/>
      <c r="P36" s="492"/>
      <c r="Q36" s="492"/>
      <c r="R36" s="493"/>
      <c r="T36" s="366"/>
      <c r="U36" s="367"/>
      <c r="V36" s="367"/>
      <c r="W36" s="367"/>
      <c r="X36" s="367"/>
      <c r="Y36" s="367"/>
      <c r="Z36" s="367"/>
      <c r="AA36" s="368"/>
    </row>
    <row r="37" spans="1:27" x14ac:dyDescent="0.25">
      <c r="A37" s="247"/>
      <c r="B37" s="993"/>
      <c r="C37" s="994"/>
      <c r="D37" s="994"/>
      <c r="E37" s="994"/>
      <c r="F37" s="995"/>
      <c r="G37" s="68"/>
      <c r="K37" s="378" t="s">
        <v>883</v>
      </c>
      <c r="L37" s="379"/>
      <c r="M37" s="379"/>
      <c r="N37" s="379"/>
      <c r="O37" s="379"/>
      <c r="P37" s="379"/>
      <c r="Q37" s="379"/>
      <c r="R37" s="468"/>
      <c r="T37" s="366"/>
      <c r="U37" s="367"/>
      <c r="V37" s="367"/>
      <c r="W37" s="367"/>
      <c r="X37" s="367"/>
      <c r="Y37" s="367"/>
      <c r="Z37" s="367"/>
      <c r="AA37" s="368"/>
    </row>
    <row r="38" spans="1:27" ht="15.75" thickBot="1" x14ac:dyDescent="0.3">
      <c r="A38" s="247"/>
      <c r="B38" s="996"/>
      <c r="C38" s="997"/>
      <c r="D38" s="997"/>
      <c r="E38" s="997"/>
      <c r="F38" s="998"/>
      <c r="G38" s="68"/>
      <c r="K38" s="380" t="s">
        <v>884</v>
      </c>
      <c r="L38" s="381"/>
      <c r="M38" s="381"/>
      <c r="N38" s="381"/>
      <c r="O38" s="381"/>
      <c r="P38" s="381"/>
      <c r="Q38" s="381"/>
      <c r="R38" s="490"/>
      <c r="T38" s="366"/>
      <c r="U38" s="367"/>
      <c r="V38" s="367"/>
      <c r="W38" s="367"/>
      <c r="X38" s="367"/>
      <c r="Y38" s="367"/>
      <c r="Z38" s="367"/>
      <c r="AA38" s="368"/>
    </row>
    <row r="39" spans="1:27" ht="15.75" thickBot="1" x14ac:dyDescent="0.3">
      <c r="A39" s="247"/>
      <c r="B39" s="247"/>
      <c r="C39" s="66"/>
      <c r="D39" s="68"/>
      <c r="E39" s="68"/>
      <c r="F39" s="68"/>
      <c r="G39" s="68"/>
      <c r="K39" s="366"/>
      <c r="L39" s="367"/>
      <c r="M39" s="367"/>
      <c r="N39" s="367"/>
      <c r="O39" s="367"/>
      <c r="P39" s="367"/>
      <c r="Q39" s="367"/>
      <c r="R39" s="368"/>
      <c r="T39" s="366"/>
      <c r="U39" s="367"/>
      <c r="V39" s="367"/>
      <c r="W39" s="367"/>
      <c r="X39" s="367"/>
      <c r="Y39" s="367"/>
      <c r="Z39" s="367"/>
      <c r="AA39" s="368"/>
    </row>
    <row r="40" spans="1:27" ht="15.75" thickBot="1" x14ac:dyDescent="0.3">
      <c r="A40" s="375" t="s">
        <v>1046</v>
      </c>
      <c r="B40" s="376"/>
      <c r="C40" s="376"/>
      <c r="D40" s="376"/>
      <c r="E40" s="376"/>
      <c r="F40" s="376"/>
      <c r="G40" s="377"/>
      <c r="K40" s="366"/>
      <c r="L40" s="367"/>
      <c r="M40" s="367"/>
      <c r="N40" s="367"/>
      <c r="O40" s="367"/>
      <c r="P40" s="367"/>
      <c r="Q40" s="367"/>
      <c r="R40" s="368"/>
      <c r="T40" s="366"/>
      <c r="U40" s="367"/>
      <c r="V40" s="367"/>
      <c r="W40" s="367"/>
      <c r="X40" s="367"/>
      <c r="Y40" s="367"/>
      <c r="Z40" s="367"/>
      <c r="AA40" s="368"/>
    </row>
    <row r="41" spans="1:27" x14ac:dyDescent="0.25">
      <c r="A41" s="378" t="s">
        <v>1047</v>
      </c>
      <c r="B41" s="379"/>
      <c r="C41" s="379"/>
      <c r="D41" s="379"/>
      <c r="E41" s="379"/>
      <c r="F41" s="379"/>
      <c r="G41" s="468"/>
      <c r="K41" s="366"/>
      <c r="L41" s="367"/>
      <c r="M41" s="367"/>
      <c r="N41" s="367"/>
      <c r="O41" s="367"/>
      <c r="P41" s="367"/>
      <c r="Q41" s="367"/>
      <c r="R41" s="368"/>
      <c r="T41" s="366"/>
      <c r="U41" s="367"/>
      <c r="V41" s="367"/>
      <c r="W41" s="367"/>
      <c r="X41" s="367"/>
      <c r="Y41" s="367"/>
      <c r="Z41" s="367"/>
      <c r="AA41" s="368"/>
    </row>
    <row r="42" spans="1:27" x14ac:dyDescent="0.25">
      <c r="A42" s="380" t="s">
        <v>1079</v>
      </c>
      <c r="B42" s="381"/>
      <c r="C42" s="381"/>
      <c r="D42" s="381"/>
      <c r="E42" s="381"/>
      <c r="F42" s="381"/>
      <c r="G42" s="490"/>
      <c r="I42" s="66"/>
      <c r="K42" s="366"/>
      <c r="L42" s="367"/>
      <c r="M42" s="367"/>
      <c r="N42" s="367"/>
      <c r="O42" s="367"/>
      <c r="P42" s="367"/>
      <c r="Q42" s="367"/>
      <c r="R42" s="368"/>
      <c r="T42" s="366"/>
      <c r="U42" s="367"/>
      <c r="V42" s="367"/>
      <c r="W42" s="367"/>
      <c r="X42" s="367"/>
      <c r="Y42" s="367"/>
      <c r="Z42" s="367"/>
      <c r="AA42" s="368"/>
    </row>
    <row r="43" spans="1:27" x14ac:dyDescent="0.25">
      <c r="A43" s="380" t="s">
        <v>1048</v>
      </c>
      <c r="B43" s="381"/>
      <c r="C43" s="381"/>
      <c r="D43" s="381"/>
      <c r="E43" s="381"/>
      <c r="F43" s="381"/>
      <c r="G43" s="490"/>
      <c r="I43" s="66"/>
      <c r="K43" s="366"/>
      <c r="L43" s="367"/>
      <c r="M43" s="367"/>
      <c r="N43" s="367"/>
      <c r="O43" s="367"/>
      <c r="P43" s="367"/>
      <c r="Q43" s="367"/>
      <c r="R43" s="368"/>
      <c r="T43" s="366"/>
      <c r="U43" s="367"/>
      <c r="V43" s="367"/>
      <c r="W43" s="367"/>
      <c r="X43" s="367"/>
      <c r="Y43" s="367"/>
      <c r="Z43" s="367"/>
      <c r="AA43" s="368"/>
    </row>
    <row r="44" spans="1:27" ht="18" thickBot="1" x14ac:dyDescent="0.3">
      <c r="A44" s="761" t="s">
        <v>1052</v>
      </c>
      <c r="B44" s="762"/>
      <c r="C44" s="762"/>
      <c r="D44" s="762"/>
      <c r="E44" s="762"/>
      <c r="F44" s="762"/>
      <c r="G44" s="1003"/>
      <c r="I44" s="66"/>
      <c r="K44" s="366"/>
      <c r="L44" s="367"/>
      <c r="M44" s="367"/>
      <c r="N44" s="367"/>
      <c r="O44" s="367"/>
      <c r="P44" s="367"/>
      <c r="Q44" s="367"/>
      <c r="R44" s="368"/>
      <c r="T44" s="366"/>
      <c r="U44" s="367"/>
      <c r="V44" s="367"/>
      <c r="W44" s="367"/>
      <c r="X44" s="367"/>
      <c r="Y44" s="367"/>
      <c r="Z44" s="367"/>
      <c r="AA44" s="368"/>
    </row>
    <row r="45" spans="1:27" ht="15.75" thickBot="1" x14ac:dyDescent="0.3">
      <c r="A45" s="247"/>
      <c r="B45" s="247"/>
      <c r="C45" s="66"/>
      <c r="D45" s="68"/>
      <c r="E45" s="68"/>
      <c r="F45" s="68"/>
      <c r="G45" s="68"/>
      <c r="I45" s="66"/>
      <c r="K45" s="366"/>
      <c r="L45" s="367"/>
      <c r="M45" s="367"/>
      <c r="N45" s="367"/>
      <c r="O45" s="367"/>
      <c r="P45" s="367"/>
      <c r="Q45" s="367"/>
      <c r="R45" s="368"/>
      <c r="T45" s="366"/>
      <c r="U45" s="367"/>
      <c r="V45" s="367"/>
      <c r="W45" s="367"/>
      <c r="X45" s="367"/>
      <c r="Y45" s="367"/>
      <c r="Z45" s="367"/>
      <c r="AA45" s="368"/>
    </row>
    <row r="46" spans="1:27" ht="17.25" x14ac:dyDescent="0.25">
      <c r="A46" s="1004" t="s">
        <v>1053</v>
      </c>
      <c r="B46" s="1005"/>
      <c r="C46" s="1005"/>
      <c r="D46" s="1005"/>
      <c r="E46" s="1005"/>
      <c r="F46" s="1005"/>
      <c r="G46" s="1006"/>
      <c r="I46" s="66"/>
      <c r="K46" s="366"/>
      <c r="L46" s="367"/>
      <c r="M46" s="367"/>
      <c r="N46" s="367"/>
      <c r="O46" s="367"/>
      <c r="P46" s="367"/>
      <c r="Q46" s="367"/>
      <c r="R46" s="368"/>
      <c r="T46" s="366"/>
      <c r="U46" s="367"/>
      <c r="V46" s="367"/>
      <c r="W46" s="367"/>
      <c r="X46" s="367"/>
      <c r="Y46" s="367"/>
      <c r="Z46" s="367"/>
      <c r="AA46" s="368"/>
    </row>
    <row r="47" spans="1:27" x14ac:dyDescent="0.25">
      <c r="A47" s="453" t="s">
        <v>1054</v>
      </c>
      <c r="B47" s="454"/>
      <c r="C47" s="463">
        <v>0.34189999999999998</v>
      </c>
      <c r="D47" s="463"/>
      <c r="E47" s="367" t="str">
        <f>IF(NOT(ISNUMBER(C47)),"E° (V) Cathode",
IF(NOT(ISNUMBER(C48)),"E° (V) Anode",
IF(NOT(ISNUMBER(C49)),"E° (V) Cell Voltage",
"Check Inputs")))</f>
        <v>E° (V) Cell Voltage</v>
      </c>
      <c r="F47" s="367"/>
      <c r="G47" s="368"/>
      <c r="I47" s="66"/>
      <c r="K47" s="366"/>
      <c r="L47" s="367"/>
      <c r="M47" s="367"/>
      <c r="N47" s="367"/>
      <c r="O47" s="367"/>
      <c r="P47" s="367"/>
      <c r="Q47" s="367"/>
      <c r="R47" s="368"/>
      <c r="T47" s="366"/>
      <c r="U47" s="367"/>
      <c r="V47" s="367"/>
      <c r="W47" s="367"/>
      <c r="X47" s="367"/>
      <c r="Y47" s="367"/>
      <c r="Z47" s="367"/>
      <c r="AA47" s="368"/>
    </row>
    <row r="48" spans="1:27" x14ac:dyDescent="0.25">
      <c r="A48" s="453" t="s">
        <v>1055</v>
      </c>
      <c r="B48" s="454"/>
      <c r="C48" s="463">
        <v>-1.6759999999999999</v>
      </c>
      <c r="D48" s="463"/>
      <c r="E48" s="999">
        <f>IF(NOT(ISNUMBER(C47)),(C49+C48),
IF(NOT(ISNUMBER(C48)),-1*(C49-C47),
IF(NOT(ISNUMBER(C49)),C47-C48,
"Check Inputs")))</f>
        <v>2.0179</v>
      </c>
      <c r="F48" s="999"/>
      <c r="G48" s="1000"/>
      <c r="K48" s="366"/>
      <c r="L48" s="367"/>
      <c r="M48" s="367"/>
      <c r="N48" s="367"/>
      <c r="O48" s="367"/>
      <c r="P48" s="367"/>
      <c r="Q48" s="367"/>
      <c r="R48" s="368"/>
      <c r="T48" s="366"/>
      <c r="U48" s="367"/>
      <c r="V48" s="367"/>
      <c r="W48" s="367"/>
      <c r="X48" s="367"/>
      <c r="Y48" s="367"/>
      <c r="Z48" s="367"/>
      <c r="AA48" s="368"/>
    </row>
    <row r="49" spans="1:27" ht="15.75" thickBot="1" x14ac:dyDescent="0.3">
      <c r="A49" s="469" t="s">
        <v>1080</v>
      </c>
      <c r="B49" s="470"/>
      <c r="C49" s="716"/>
      <c r="D49" s="716"/>
      <c r="E49" s="1001"/>
      <c r="F49" s="1001"/>
      <c r="G49" s="1002"/>
      <c r="K49" s="366"/>
      <c r="L49" s="367"/>
      <c r="M49" s="367"/>
      <c r="N49" s="367"/>
      <c r="O49" s="367"/>
      <c r="P49" s="367"/>
      <c r="Q49" s="367"/>
      <c r="R49" s="368"/>
      <c r="T49" s="366"/>
      <c r="U49" s="367"/>
      <c r="V49" s="367"/>
      <c r="W49" s="367"/>
      <c r="X49" s="367"/>
      <c r="Y49" s="367"/>
      <c r="Z49" s="367"/>
      <c r="AA49" s="368"/>
    </row>
    <row r="50" spans="1:27" ht="15.75" thickBot="1" x14ac:dyDescent="0.3">
      <c r="K50" s="366"/>
      <c r="L50" s="367"/>
      <c r="M50" s="367"/>
      <c r="N50" s="367"/>
      <c r="O50" s="367"/>
      <c r="P50" s="367"/>
      <c r="Q50" s="367"/>
      <c r="R50" s="368"/>
      <c r="T50" s="366"/>
      <c r="U50" s="367"/>
      <c r="V50" s="367"/>
      <c r="W50" s="367"/>
      <c r="X50" s="367"/>
      <c r="Y50" s="367"/>
      <c r="Z50" s="367"/>
      <c r="AA50" s="368"/>
    </row>
    <row r="51" spans="1:27" ht="15.75" customHeight="1" thickBot="1" x14ac:dyDescent="0.3">
      <c r="A51" s="456" t="s">
        <v>1045</v>
      </c>
      <c r="B51" s="457"/>
      <c r="C51" s="457"/>
      <c r="D51" s="457"/>
      <c r="E51" s="457"/>
      <c r="F51" s="457"/>
      <c r="G51" s="457"/>
      <c r="H51" s="458"/>
      <c r="K51" s="366"/>
      <c r="L51" s="367"/>
      <c r="M51" s="367"/>
      <c r="N51" s="367"/>
      <c r="O51" s="367"/>
      <c r="P51" s="367"/>
      <c r="Q51" s="367"/>
      <c r="R51" s="368"/>
      <c r="T51" s="366"/>
      <c r="U51" s="367"/>
      <c r="V51" s="367"/>
      <c r="W51" s="367"/>
      <c r="X51" s="367"/>
      <c r="Y51" s="367"/>
      <c r="Z51" s="367"/>
      <c r="AA51" s="368"/>
    </row>
    <row r="52" spans="1:27" ht="17.25" x14ac:dyDescent="0.25">
      <c r="A52" s="363" t="s">
        <v>1077</v>
      </c>
      <c r="B52" s="364"/>
      <c r="C52" s="364"/>
      <c r="D52" s="364"/>
      <c r="E52" s="364"/>
      <c r="F52" s="364"/>
      <c r="G52" s="364"/>
      <c r="H52" s="365"/>
      <c r="K52" s="366"/>
      <c r="L52" s="367"/>
      <c r="M52" s="367"/>
      <c r="N52" s="367"/>
      <c r="O52" s="367"/>
      <c r="P52" s="367"/>
      <c r="Q52" s="367"/>
      <c r="R52" s="368"/>
      <c r="T52" s="366"/>
      <c r="U52" s="367"/>
      <c r="V52" s="367"/>
      <c r="W52" s="367"/>
      <c r="X52" s="367"/>
      <c r="Y52" s="367"/>
      <c r="Z52" s="367"/>
      <c r="AA52" s="368"/>
    </row>
    <row r="53" spans="1:27" ht="18" customHeight="1" x14ac:dyDescent="0.25">
      <c r="A53" s="649" t="s">
        <v>1306</v>
      </c>
      <c r="B53" s="550"/>
      <c r="C53" s="550"/>
      <c r="D53" s="550"/>
      <c r="E53" s="550"/>
      <c r="F53" s="551"/>
      <c r="G53" s="851" t="s">
        <v>1305</v>
      </c>
      <c r="H53" s="1007"/>
      <c r="K53" s="969" t="s">
        <v>888</v>
      </c>
      <c r="L53" s="970"/>
      <c r="M53" s="970"/>
      <c r="N53" s="970"/>
      <c r="O53" s="970"/>
      <c r="P53" s="970"/>
      <c r="Q53" s="970"/>
      <c r="R53" s="971"/>
      <c r="T53" s="366"/>
      <c r="U53" s="367"/>
      <c r="V53" s="367"/>
      <c r="W53" s="367"/>
      <c r="X53" s="367"/>
      <c r="Y53" s="367"/>
      <c r="Z53" s="367"/>
      <c r="AA53" s="368"/>
    </row>
    <row r="54" spans="1:27" x14ac:dyDescent="0.25">
      <c r="A54" s="459" t="s">
        <v>974</v>
      </c>
      <c r="B54" s="460"/>
      <c r="C54" s="460"/>
      <c r="D54" s="460"/>
      <c r="E54" s="460"/>
      <c r="F54" s="460"/>
      <c r="G54" s="460" t="s">
        <v>1129</v>
      </c>
      <c r="H54" s="461"/>
      <c r="I54" s="68"/>
      <c r="K54" s="969"/>
      <c r="L54" s="970"/>
      <c r="M54" s="970"/>
      <c r="N54" s="970"/>
      <c r="O54" s="970"/>
      <c r="P54" s="970"/>
      <c r="Q54" s="970"/>
      <c r="R54" s="971"/>
      <c r="T54" s="366"/>
      <c r="U54" s="367"/>
      <c r="V54" s="367"/>
      <c r="W54" s="367"/>
      <c r="X54" s="367"/>
      <c r="Y54" s="367"/>
      <c r="Z54" s="367"/>
      <c r="AA54" s="368"/>
    </row>
    <row r="55" spans="1:27" x14ac:dyDescent="0.25">
      <c r="A55" s="462" t="s">
        <v>1416</v>
      </c>
      <c r="B55" s="463"/>
      <c r="C55" s="463"/>
      <c r="D55" s="463"/>
      <c r="E55" s="463"/>
      <c r="F55" s="463"/>
      <c r="G55" s="442">
        <f>_xlfn.XLOOKUP(A55,A57:A103,G57:G103,"--",1,1)</f>
        <v>-2.71</v>
      </c>
      <c r="H55" s="443"/>
      <c r="I55" s="68"/>
      <c r="K55" s="969" t="s">
        <v>889</v>
      </c>
      <c r="L55" s="970"/>
      <c r="M55" s="970"/>
      <c r="N55" s="970"/>
      <c r="O55" s="970"/>
      <c r="P55" s="970"/>
      <c r="Q55" s="970"/>
      <c r="R55" s="971"/>
      <c r="T55" s="366"/>
      <c r="U55" s="367"/>
      <c r="V55" s="367"/>
      <c r="W55" s="367"/>
      <c r="X55" s="367"/>
      <c r="Y55" s="367"/>
      <c r="Z55" s="367"/>
      <c r="AA55" s="368"/>
    </row>
    <row r="56" spans="1:27" ht="15" customHeight="1" thickBot="1" x14ac:dyDescent="0.3">
      <c r="A56" s="464" t="str">
        <f>IF(G53="Max",_xlfn.XLOOKUP(G56,G57:G103,A57:A103,"--",-1,1),
_xlfn.XLOOKUP(G56,G57:G103,A57:A103,"--",1,1))</f>
        <v>Na+ (aq) + e- --&gt; Na (s)</v>
      </c>
      <c r="B56" s="465"/>
      <c r="C56" s="465"/>
      <c r="D56" s="465"/>
      <c r="E56" s="465"/>
      <c r="F56" s="465"/>
      <c r="G56" s="466">
        <v>-2.71</v>
      </c>
      <c r="H56" s="467"/>
      <c r="I56" s="238"/>
      <c r="K56" s="969"/>
      <c r="L56" s="970"/>
      <c r="M56" s="970"/>
      <c r="N56" s="970"/>
      <c r="O56" s="970"/>
      <c r="P56" s="970"/>
      <c r="Q56" s="970"/>
      <c r="R56" s="971"/>
      <c r="T56" s="366"/>
      <c r="U56" s="367"/>
      <c r="V56" s="367"/>
      <c r="W56" s="367"/>
      <c r="X56" s="367"/>
      <c r="Y56" s="367"/>
      <c r="Z56" s="367"/>
      <c r="AA56" s="368"/>
    </row>
    <row r="57" spans="1:27" ht="18" x14ac:dyDescent="0.25">
      <c r="A57" s="378" t="s">
        <v>1082</v>
      </c>
      <c r="B57" s="379"/>
      <c r="C57" s="379"/>
      <c r="D57" s="379"/>
      <c r="E57" s="379"/>
      <c r="F57" s="379"/>
      <c r="G57" s="379">
        <v>2.8660000000000001</v>
      </c>
      <c r="H57" s="468"/>
      <c r="I57" s="71"/>
      <c r="K57" s="336" t="s">
        <v>885</v>
      </c>
      <c r="L57" s="337"/>
      <c r="M57" s="337"/>
      <c r="N57" s="337"/>
      <c r="O57" s="337"/>
      <c r="P57" s="337"/>
      <c r="Q57" s="337"/>
      <c r="R57" s="846"/>
      <c r="T57" s="366"/>
      <c r="U57" s="367"/>
      <c r="V57" s="367"/>
      <c r="W57" s="367"/>
      <c r="X57" s="367"/>
      <c r="Y57" s="367"/>
      <c r="Z57" s="367"/>
      <c r="AA57" s="368"/>
    </row>
    <row r="58" spans="1:27" ht="17.25" x14ac:dyDescent="0.25">
      <c r="A58" s="380" t="s">
        <v>1083</v>
      </c>
      <c r="B58" s="381"/>
      <c r="C58" s="381"/>
      <c r="D58" s="381"/>
      <c r="E58" s="381"/>
      <c r="F58" s="381"/>
      <c r="G58" s="381">
        <v>1.92</v>
      </c>
      <c r="H58" s="490"/>
      <c r="I58" s="71"/>
      <c r="K58" s="336" t="s">
        <v>886</v>
      </c>
      <c r="L58" s="337"/>
      <c r="M58" s="337"/>
      <c r="N58" s="337"/>
      <c r="O58" s="337"/>
      <c r="P58" s="337"/>
      <c r="Q58" s="337"/>
      <c r="R58" s="846"/>
      <c r="T58" s="366"/>
      <c r="U58" s="367"/>
      <c r="V58" s="367"/>
      <c r="W58" s="367"/>
      <c r="X58" s="367"/>
      <c r="Y58" s="367"/>
      <c r="Z58" s="367"/>
      <c r="AA58" s="368"/>
    </row>
    <row r="59" spans="1:27" ht="18" x14ac:dyDescent="0.25">
      <c r="A59" s="380" t="s">
        <v>1084</v>
      </c>
      <c r="B59" s="381"/>
      <c r="C59" s="381"/>
      <c r="D59" s="381"/>
      <c r="E59" s="381"/>
      <c r="F59" s="381"/>
      <c r="G59" s="381">
        <v>1.776</v>
      </c>
      <c r="H59" s="490"/>
      <c r="I59" s="71"/>
      <c r="K59" s="336" t="s">
        <v>887</v>
      </c>
      <c r="L59" s="337"/>
      <c r="M59" s="337"/>
      <c r="N59" s="337"/>
      <c r="O59" s="337"/>
      <c r="P59" s="337"/>
      <c r="Q59" s="337"/>
      <c r="R59" s="846"/>
      <c r="T59" s="366"/>
      <c r="U59" s="367"/>
      <c r="V59" s="367"/>
      <c r="W59" s="367"/>
      <c r="X59" s="367"/>
      <c r="Y59" s="367"/>
      <c r="Z59" s="367"/>
      <c r="AA59" s="368"/>
    </row>
    <row r="60" spans="1:27" ht="17.25" x14ac:dyDescent="0.25">
      <c r="A60" s="380" t="s">
        <v>1085</v>
      </c>
      <c r="B60" s="381"/>
      <c r="C60" s="381"/>
      <c r="D60" s="381"/>
      <c r="E60" s="381"/>
      <c r="F60" s="381"/>
      <c r="G60" s="381">
        <v>1.6919999999999999</v>
      </c>
      <c r="H60" s="490"/>
      <c r="I60" s="71"/>
      <c r="K60" s="975" t="s">
        <v>890</v>
      </c>
      <c r="L60" s="976"/>
      <c r="M60" s="976"/>
      <c r="N60" s="976"/>
      <c r="O60" s="976"/>
      <c r="P60" s="976"/>
      <c r="Q60" s="976"/>
      <c r="R60" s="977"/>
      <c r="T60" s="366"/>
      <c r="U60" s="367"/>
      <c r="V60" s="367"/>
      <c r="W60" s="367"/>
      <c r="X60" s="367"/>
      <c r="Y60" s="367"/>
      <c r="Z60" s="367"/>
      <c r="AA60" s="368"/>
    </row>
    <row r="61" spans="1:27" ht="18.75" thickBot="1" x14ac:dyDescent="0.3">
      <c r="A61" s="380" t="s">
        <v>1086</v>
      </c>
      <c r="B61" s="381"/>
      <c r="C61" s="381"/>
      <c r="D61" s="381"/>
      <c r="E61" s="381"/>
      <c r="F61" s="381"/>
      <c r="G61" s="381">
        <v>1.5069999999999999</v>
      </c>
      <c r="H61" s="490"/>
      <c r="I61" s="71"/>
      <c r="K61" s="978"/>
      <c r="L61" s="979"/>
      <c r="M61" s="979"/>
      <c r="N61" s="979"/>
      <c r="O61" s="979"/>
      <c r="P61" s="979"/>
      <c r="Q61" s="979"/>
      <c r="R61" s="980"/>
      <c r="T61" s="366"/>
      <c r="U61" s="367"/>
      <c r="V61" s="367"/>
      <c r="W61" s="367"/>
      <c r="X61" s="367"/>
      <c r="Y61" s="367"/>
      <c r="Z61" s="367"/>
      <c r="AA61" s="368"/>
    </row>
    <row r="62" spans="1:27" ht="16.5" customHeight="1" thickBot="1" x14ac:dyDescent="0.3">
      <c r="A62" s="380" t="s">
        <v>1087</v>
      </c>
      <c r="B62" s="381"/>
      <c r="C62" s="381"/>
      <c r="D62" s="381"/>
      <c r="E62" s="381"/>
      <c r="F62" s="381"/>
      <c r="G62" s="381">
        <v>1.498</v>
      </c>
      <c r="H62" s="490"/>
      <c r="I62" s="71"/>
      <c r="T62" s="366"/>
      <c r="U62" s="367"/>
      <c r="V62" s="367"/>
      <c r="W62" s="367"/>
      <c r="X62" s="367"/>
      <c r="Y62" s="367"/>
      <c r="Z62" s="367"/>
      <c r="AA62" s="368"/>
    </row>
    <row r="63" spans="1:27" ht="18.75" thickBot="1" x14ac:dyDescent="0.3">
      <c r="A63" s="380" t="s">
        <v>1088</v>
      </c>
      <c r="B63" s="381"/>
      <c r="C63" s="381"/>
      <c r="D63" s="381"/>
      <c r="E63" s="381"/>
      <c r="F63" s="381"/>
      <c r="G63" s="381">
        <v>1.3582700000000001</v>
      </c>
      <c r="H63" s="490"/>
      <c r="I63" s="71"/>
      <c r="K63" s="491" t="s">
        <v>902</v>
      </c>
      <c r="L63" s="492"/>
      <c r="M63" s="492"/>
      <c r="N63" s="492"/>
      <c r="O63" s="492"/>
      <c r="P63" s="492"/>
      <c r="Q63" s="492"/>
      <c r="R63" s="493"/>
      <c r="T63" s="366"/>
      <c r="U63" s="367"/>
      <c r="V63" s="367"/>
      <c r="W63" s="367"/>
      <c r="X63" s="367"/>
      <c r="Y63" s="367"/>
      <c r="Z63" s="367"/>
      <c r="AA63" s="368"/>
    </row>
    <row r="64" spans="1:27" ht="18" x14ac:dyDescent="0.25">
      <c r="A64" s="380" t="s">
        <v>1089</v>
      </c>
      <c r="B64" s="381"/>
      <c r="C64" s="381"/>
      <c r="D64" s="381"/>
      <c r="E64" s="381"/>
      <c r="F64" s="381"/>
      <c r="G64" s="381">
        <v>1.2290000000000001</v>
      </c>
      <c r="H64" s="490"/>
      <c r="I64" s="71"/>
      <c r="K64" s="981" t="s">
        <v>903</v>
      </c>
      <c r="L64" s="982"/>
      <c r="M64" s="982"/>
      <c r="N64" s="982"/>
      <c r="O64" s="982"/>
      <c r="P64" s="982"/>
      <c r="Q64" s="982"/>
      <c r="R64" s="983"/>
      <c r="T64" s="366"/>
      <c r="U64" s="367"/>
      <c r="V64" s="367"/>
      <c r="W64" s="367"/>
      <c r="X64" s="367"/>
      <c r="Y64" s="367"/>
      <c r="Z64" s="367"/>
      <c r="AA64" s="368"/>
    </row>
    <row r="65" spans="1:27" ht="18" x14ac:dyDescent="0.25">
      <c r="A65" s="380" t="s">
        <v>1090</v>
      </c>
      <c r="B65" s="381"/>
      <c r="C65" s="381"/>
      <c r="D65" s="381"/>
      <c r="E65" s="381"/>
      <c r="F65" s="381"/>
      <c r="G65" s="381">
        <v>1.224</v>
      </c>
      <c r="H65" s="490"/>
      <c r="I65" s="71"/>
      <c r="K65" s="380"/>
      <c r="L65" s="381"/>
      <c r="M65" s="381"/>
      <c r="N65" s="381"/>
      <c r="O65" s="381"/>
      <c r="P65" s="381"/>
      <c r="Q65" s="381"/>
      <c r="R65" s="490"/>
      <c r="T65" s="366"/>
      <c r="U65" s="367"/>
      <c r="V65" s="367"/>
      <c r="W65" s="367"/>
      <c r="X65" s="367"/>
      <c r="Y65" s="367"/>
      <c r="Z65" s="367"/>
      <c r="AA65" s="368"/>
    </row>
    <row r="66" spans="1:27" ht="18" x14ac:dyDescent="0.25">
      <c r="A66" s="380" t="s">
        <v>1091</v>
      </c>
      <c r="B66" s="381"/>
      <c r="C66" s="381"/>
      <c r="D66" s="381"/>
      <c r="E66" s="381"/>
      <c r="F66" s="381"/>
      <c r="G66" s="381">
        <v>1.1950000000000001</v>
      </c>
      <c r="H66" s="490"/>
      <c r="I66" s="71"/>
      <c r="K66" s="380"/>
      <c r="L66" s="381"/>
      <c r="M66" s="381"/>
      <c r="N66" s="381"/>
      <c r="O66" s="381"/>
      <c r="P66" s="381"/>
      <c r="Q66" s="381"/>
      <c r="R66" s="490"/>
      <c r="T66" s="539" t="s">
        <v>892</v>
      </c>
      <c r="U66" s="523"/>
      <c r="V66" s="523"/>
      <c r="W66" s="523"/>
      <c r="X66" s="523"/>
      <c r="Y66" s="523"/>
      <c r="Z66" s="523"/>
      <c r="AA66" s="541"/>
    </row>
    <row r="67" spans="1:27" ht="18" x14ac:dyDescent="0.25">
      <c r="A67" s="380" t="s">
        <v>1092</v>
      </c>
      <c r="B67" s="381"/>
      <c r="C67" s="381"/>
      <c r="D67" s="381"/>
      <c r="E67" s="381"/>
      <c r="F67" s="381"/>
      <c r="G67" s="381">
        <v>1.0660000000000001</v>
      </c>
      <c r="H67" s="490"/>
      <c r="I67" s="71"/>
      <c r="K67" s="380" t="s">
        <v>904</v>
      </c>
      <c r="L67" s="381"/>
      <c r="M67" s="381"/>
      <c r="N67" s="381"/>
      <c r="O67" s="381"/>
      <c r="P67" s="381"/>
      <c r="Q67" s="381"/>
      <c r="R67" s="490"/>
      <c r="T67" s="972" t="s">
        <v>893</v>
      </c>
      <c r="U67" s="973"/>
      <c r="V67" s="973"/>
      <c r="W67" s="973"/>
      <c r="X67" s="973"/>
      <c r="Y67" s="973"/>
      <c r="Z67" s="973"/>
      <c r="AA67" s="974"/>
    </row>
    <row r="68" spans="1:27" ht="18" x14ac:dyDescent="0.35">
      <c r="A68" s="380" t="s">
        <v>1093</v>
      </c>
      <c r="B68" s="381"/>
      <c r="C68" s="381"/>
      <c r="D68" s="381"/>
      <c r="E68" s="381"/>
      <c r="F68" s="381"/>
      <c r="G68" s="381">
        <v>0.99099999999999999</v>
      </c>
      <c r="H68" s="490"/>
      <c r="I68" s="71"/>
      <c r="K68" s="380"/>
      <c r="L68" s="381"/>
      <c r="M68" s="381"/>
      <c r="N68" s="381"/>
      <c r="O68" s="381"/>
      <c r="P68" s="381"/>
      <c r="Q68" s="381"/>
      <c r="R68" s="490"/>
      <c r="T68" s="972" t="s">
        <v>894</v>
      </c>
      <c r="U68" s="973"/>
      <c r="V68" s="973"/>
      <c r="W68" s="973"/>
      <c r="X68" s="973"/>
      <c r="Y68" s="973"/>
      <c r="Z68" s="973"/>
      <c r="AA68" s="974"/>
    </row>
    <row r="69" spans="1:27" ht="18.75" thickBot="1" x14ac:dyDescent="0.3">
      <c r="A69" s="380" t="s">
        <v>1094</v>
      </c>
      <c r="B69" s="381"/>
      <c r="C69" s="381"/>
      <c r="D69" s="381"/>
      <c r="E69" s="381"/>
      <c r="F69" s="381"/>
      <c r="G69" s="381">
        <v>0.98299999999999998</v>
      </c>
      <c r="H69" s="490"/>
      <c r="I69" s="71"/>
      <c r="K69" s="380"/>
      <c r="L69" s="381"/>
      <c r="M69" s="381"/>
      <c r="N69" s="381"/>
      <c r="O69" s="381"/>
      <c r="P69" s="381"/>
      <c r="Q69" s="381"/>
      <c r="R69" s="490"/>
      <c r="T69" s="966" t="s">
        <v>895</v>
      </c>
      <c r="U69" s="967"/>
      <c r="V69" s="967"/>
      <c r="W69" s="967"/>
      <c r="X69" s="967"/>
      <c r="Y69" s="967"/>
      <c r="Z69" s="967"/>
      <c r="AA69" s="968"/>
    </row>
    <row r="70" spans="1:27" ht="18.75" thickBot="1" x14ac:dyDescent="0.3">
      <c r="A70" s="380" t="s">
        <v>1095</v>
      </c>
      <c r="B70" s="381"/>
      <c r="C70" s="381"/>
      <c r="D70" s="381"/>
      <c r="E70" s="381"/>
      <c r="F70" s="381"/>
      <c r="G70" s="381">
        <v>0.95699999999999996</v>
      </c>
      <c r="H70" s="490"/>
      <c r="I70" s="71"/>
      <c r="K70" s="380" t="s">
        <v>905</v>
      </c>
      <c r="L70" s="381"/>
      <c r="M70" s="381"/>
      <c r="N70" s="381"/>
      <c r="O70" s="381"/>
      <c r="P70" s="381"/>
      <c r="Q70" s="381"/>
      <c r="R70" s="490"/>
    </row>
    <row r="71" spans="1:27" ht="18" thickBot="1" x14ac:dyDescent="0.3">
      <c r="A71" s="380" t="s">
        <v>1096</v>
      </c>
      <c r="B71" s="381"/>
      <c r="C71" s="381"/>
      <c r="D71" s="381"/>
      <c r="E71" s="381"/>
      <c r="F71" s="381"/>
      <c r="G71" s="381">
        <v>0.79959999999999998</v>
      </c>
      <c r="H71" s="490"/>
      <c r="I71" s="71"/>
      <c r="K71" s="380"/>
      <c r="L71" s="381"/>
      <c r="M71" s="381"/>
      <c r="N71" s="381"/>
      <c r="O71" s="381"/>
      <c r="P71" s="381"/>
      <c r="Q71" s="381"/>
      <c r="R71" s="490"/>
      <c r="T71" s="388" t="s">
        <v>1130</v>
      </c>
      <c r="U71" s="389"/>
      <c r="V71" s="389"/>
      <c r="W71" s="389"/>
      <c r="X71" s="389"/>
      <c r="Y71" s="389"/>
      <c r="Z71" s="390"/>
    </row>
    <row r="72" spans="1:27" ht="17.25" x14ac:dyDescent="0.25">
      <c r="A72" s="380" t="s">
        <v>1097</v>
      </c>
      <c r="B72" s="381"/>
      <c r="C72" s="381"/>
      <c r="D72" s="381"/>
      <c r="E72" s="381"/>
      <c r="F72" s="381"/>
      <c r="G72" s="381">
        <v>0.77100000000000002</v>
      </c>
      <c r="H72" s="490"/>
      <c r="I72" s="71"/>
      <c r="K72" s="380"/>
      <c r="L72" s="381"/>
      <c r="M72" s="381"/>
      <c r="N72" s="381"/>
      <c r="O72" s="381"/>
      <c r="P72" s="381"/>
      <c r="Q72" s="381"/>
      <c r="R72" s="490"/>
      <c r="T72" s="434" t="s">
        <v>974</v>
      </c>
      <c r="U72" s="435"/>
      <c r="V72" s="435"/>
      <c r="W72" s="435"/>
      <c r="X72" s="435"/>
      <c r="Y72" s="435" t="s">
        <v>1078</v>
      </c>
      <c r="Z72" s="436"/>
    </row>
    <row r="73" spans="1:27" ht="18" x14ac:dyDescent="0.25">
      <c r="A73" s="380" t="s">
        <v>1098</v>
      </c>
      <c r="B73" s="381"/>
      <c r="C73" s="381"/>
      <c r="D73" s="381"/>
      <c r="E73" s="381"/>
      <c r="F73" s="381"/>
      <c r="G73" s="381">
        <v>0.69499999999999995</v>
      </c>
      <c r="H73" s="490"/>
      <c r="I73" s="71"/>
      <c r="K73" s="380" t="s">
        <v>906</v>
      </c>
      <c r="L73" s="381"/>
      <c r="M73" s="381"/>
      <c r="N73" s="381"/>
      <c r="O73" s="381"/>
      <c r="P73" s="381"/>
      <c r="Q73" s="381"/>
      <c r="R73" s="490"/>
      <c r="T73" s="439" t="s">
        <v>25</v>
      </c>
      <c r="U73" s="440"/>
      <c r="V73" s="440"/>
      <c r="W73" s="440"/>
      <c r="X73" s="441"/>
      <c r="Y73" s="442" t="str">
        <f>_xlfn.XLOOKUP("*"&amp;T73&amp;"*",T75:T121,Y75:Y121,"--",2)</f>
        <v> -2.077 </v>
      </c>
      <c r="Z73" s="443"/>
    </row>
    <row r="74" spans="1:27" ht="18.75" thickBot="1" x14ac:dyDescent="0.3">
      <c r="A74" s="380" t="s">
        <v>1099</v>
      </c>
      <c r="B74" s="381"/>
      <c r="C74" s="381"/>
      <c r="D74" s="381"/>
      <c r="E74" s="381"/>
      <c r="F74" s="381"/>
      <c r="G74" s="381">
        <v>0.59499999999999997</v>
      </c>
      <c r="H74" s="490"/>
      <c r="I74" s="71"/>
      <c r="K74" s="380"/>
      <c r="L74" s="381"/>
      <c r="M74" s="381"/>
      <c r="N74" s="381"/>
      <c r="O74" s="381"/>
      <c r="P74" s="381"/>
      <c r="Q74" s="381"/>
      <c r="R74" s="490"/>
      <c r="T74" s="444" t="str" cm="1">
        <f t="array" ref="T74">_xlfn.IFNA(_xlfn.XLOOKUP("*"&amp;Y74&amp;"*",Y75:Y121,T75:T121,,2),
MIN(IF(Y75:Y121&gt;Y74,Y75:Y121)))</f>
        <v>H2O2 (aq) + 2H+ (aq) + 2e− → 2H2O (l)</v>
      </c>
      <c r="U74" s="445"/>
      <c r="V74" s="445"/>
      <c r="W74" s="445"/>
      <c r="X74" s="445"/>
      <c r="Y74" s="446">
        <v>1.77</v>
      </c>
      <c r="Z74" s="447"/>
    </row>
    <row r="75" spans="1:27" ht="18" x14ac:dyDescent="0.25">
      <c r="A75" s="380" t="s">
        <v>1100</v>
      </c>
      <c r="B75" s="381"/>
      <c r="C75" s="381"/>
      <c r="D75" s="381"/>
      <c r="E75" s="381"/>
      <c r="F75" s="381"/>
      <c r="G75" s="381">
        <v>0.53549999999999998</v>
      </c>
      <c r="H75" s="490"/>
      <c r="I75" s="71"/>
      <c r="K75" s="380"/>
      <c r="L75" s="381"/>
      <c r="M75" s="381"/>
      <c r="N75" s="381"/>
      <c r="O75" s="381"/>
      <c r="P75" s="381"/>
      <c r="Q75" s="381"/>
      <c r="R75" s="490"/>
      <c r="T75" s="448" t="s">
        <v>998</v>
      </c>
      <c r="U75" s="449"/>
      <c r="V75" s="449"/>
      <c r="W75" s="449"/>
      <c r="X75" s="450"/>
      <c r="Y75" s="451" t="s">
        <v>1049</v>
      </c>
      <c r="Z75" s="452"/>
    </row>
    <row r="76" spans="1:27" ht="17.25" x14ac:dyDescent="0.25">
      <c r="A76" s="380" t="s">
        <v>1101</v>
      </c>
      <c r="B76" s="381"/>
      <c r="C76" s="381"/>
      <c r="D76" s="381"/>
      <c r="E76" s="381"/>
      <c r="F76" s="381"/>
      <c r="G76" s="381">
        <v>0.52100000000000002</v>
      </c>
      <c r="H76" s="490"/>
      <c r="I76" s="71"/>
      <c r="K76" s="380" t="s">
        <v>907</v>
      </c>
      <c r="L76" s="381"/>
      <c r="M76" s="381"/>
      <c r="N76" s="381"/>
      <c r="O76" s="381"/>
      <c r="P76" s="381"/>
      <c r="Q76" s="381"/>
      <c r="R76" s="490"/>
      <c r="T76" s="453" t="s">
        <v>999</v>
      </c>
      <c r="U76" s="454"/>
      <c r="V76" s="454"/>
      <c r="W76" s="454"/>
      <c r="X76" s="454"/>
      <c r="Y76" s="454" t="s">
        <v>1059</v>
      </c>
      <c r="Z76" s="455"/>
    </row>
    <row r="77" spans="1:27" ht="18" x14ac:dyDescent="0.25">
      <c r="A77" s="380" t="s">
        <v>1102</v>
      </c>
      <c r="B77" s="381"/>
      <c r="C77" s="381"/>
      <c r="D77" s="381"/>
      <c r="E77" s="381"/>
      <c r="F77" s="381"/>
      <c r="G77" s="381">
        <v>0.40100000000000002</v>
      </c>
      <c r="H77" s="490"/>
      <c r="I77" s="71"/>
      <c r="K77" s="380"/>
      <c r="L77" s="381"/>
      <c r="M77" s="381"/>
      <c r="N77" s="381"/>
      <c r="O77" s="381"/>
      <c r="P77" s="381"/>
      <c r="Q77" s="381"/>
      <c r="R77" s="490"/>
      <c r="T77" s="453" t="s">
        <v>1000</v>
      </c>
      <c r="U77" s="454"/>
      <c r="V77" s="454"/>
      <c r="W77" s="454"/>
      <c r="X77" s="454"/>
      <c r="Y77" s="454" t="s">
        <v>1050</v>
      </c>
      <c r="Z77" s="455"/>
    </row>
    <row r="78" spans="1:27" ht="15" customHeight="1" x14ac:dyDescent="0.25">
      <c r="A78" s="380" t="s">
        <v>1103</v>
      </c>
      <c r="B78" s="381"/>
      <c r="C78" s="381"/>
      <c r="D78" s="381"/>
      <c r="E78" s="381"/>
      <c r="F78" s="381"/>
      <c r="G78" s="381">
        <v>0.34189999999999998</v>
      </c>
      <c r="H78" s="490"/>
      <c r="I78" s="71"/>
      <c r="K78" s="380"/>
      <c r="L78" s="381"/>
      <c r="M78" s="381"/>
      <c r="N78" s="381"/>
      <c r="O78" s="381"/>
      <c r="P78" s="381"/>
      <c r="Q78" s="381"/>
      <c r="R78" s="490"/>
      <c r="T78" s="453" t="s">
        <v>1001</v>
      </c>
      <c r="U78" s="454"/>
      <c r="V78" s="454"/>
      <c r="W78" s="454"/>
      <c r="X78" s="454"/>
      <c r="Y78" s="454" t="s">
        <v>1051</v>
      </c>
      <c r="Z78" s="455"/>
    </row>
    <row r="79" spans="1:27" ht="18.75" customHeight="1" x14ac:dyDescent="0.25">
      <c r="A79" s="380" t="s">
        <v>1104</v>
      </c>
      <c r="B79" s="381"/>
      <c r="C79" s="381"/>
      <c r="D79" s="381"/>
      <c r="E79" s="381"/>
      <c r="F79" s="381"/>
      <c r="G79" s="381">
        <v>0.17199999999999999</v>
      </c>
      <c r="H79" s="490"/>
      <c r="I79" s="71"/>
      <c r="K79" s="380" t="s">
        <v>908</v>
      </c>
      <c r="L79" s="381"/>
      <c r="M79" s="381"/>
      <c r="N79" s="381"/>
      <c r="O79" s="381"/>
      <c r="P79" s="381"/>
      <c r="Q79" s="381"/>
      <c r="R79" s="490"/>
      <c r="T79" s="453" t="s">
        <v>1002</v>
      </c>
      <c r="U79" s="454"/>
      <c r="V79" s="454"/>
      <c r="W79" s="454"/>
      <c r="X79" s="454"/>
      <c r="Y79" s="454" t="s">
        <v>1056</v>
      </c>
      <c r="Z79" s="455"/>
    </row>
    <row r="80" spans="1:27" ht="18" x14ac:dyDescent="0.25">
      <c r="A80" s="380" t="s">
        <v>1105</v>
      </c>
      <c r="B80" s="381"/>
      <c r="C80" s="381"/>
      <c r="D80" s="381"/>
      <c r="E80" s="381"/>
      <c r="F80" s="381"/>
      <c r="G80" s="381">
        <v>0.153</v>
      </c>
      <c r="H80" s="490"/>
      <c r="I80" s="71"/>
      <c r="K80" s="380"/>
      <c r="L80" s="381"/>
      <c r="M80" s="381"/>
      <c r="N80" s="381"/>
      <c r="O80" s="381"/>
      <c r="P80" s="381"/>
      <c r="Q80" s="381"/>
      <c r="R80" s="490"/>
      <c r="T80" s="453" t="s">
        <v>1003</v>
      </c>
      <c r="U80" s="454"/>
      <c r="V80" s="454"/>
      <c r="W80" s="454"/>
      <c r="X80" s="454"/>
      <c r="Y80" s="454" t="s">
        <v>975</v>
      </c>
      <c r="Z80" s="455"/>
    </row>
    <row r="81" spans="1:26" ht="18" thickBot="1" x14ac:dyDescent="0.3">
      <c r="A81" s="380" t="s">
        <v>1304</v>
      </c>
      <c r="B81" s="381"/>
      <c r="C81" s="381"/>
      <c r="D81" s="381"/>
      <c r="E81" s="381"/>
      <c r="F81" s="381"/>
      <c r="G81" s="381">
        <v>0.151</v>
      </c>
      <c r="H81" s="490"/>
      <c r="I81" s="71"/>
      <c r="K81" s="384"/>
      <c r="L81" s="385"/>
      <c r="M81" s="385"/>
      <c r="N81" s="385"/>
      <c r="O81" s="385"/>
      <c r="P81" s="385"/>
      <c r="Q81" s="385"/>
      <c r="R81" s="494"/>
      <c r="T81" s="453" t="s">
        <v>1004</v>
      </c>
      <c r="U81" s="454"/>
      <c r="V81" s="454"/>
      <c r="W81" s="454"/>
      <c r="X81" s="454"/>
      <c r="Y81" s="454" t="s">
        <v>1057</v>
      </c>
      <c r="Z81" s="455"/>
    </row>
    <row r="82" spans="1:26" ht="18" x14ac:dyDescent="0.25">
      <c r="A82" s="380" t="s">
        <v>1107</v>
      </c>
      <c r="B82" s="381"/>
      <c r="C82" s="381"/>
      <c r="D82" s="381"/>
      <c r="E82" s="381"/>
      <c r="F82" s="381"/>
      <c r="G82" s="381">
        <v>0</v>
      </c>
      <c r="H82" s="490"/>
      <c r="I82" s="71"/>
      <c r="T82" s="453" t="s">
        <v>1005</v>
      </c>
      <c r="U82" s="454"/>
      <c r="V82" s="454"/>
      <c r="W82" s="454"/>
      <c r="X82" s="454"/>
      <c r="Y82" s="454" t="s">
        <v>976</v>
      </c>
      <c r="Z82" s="455"/>
    </row>
    <row r="83" spans="1:26" ht="17.25" x14ac:dyDescent="0.25">
      <c r="A83" s="380" t="s">
        <v>1108</v>
      </c>
      <c r="B83" s="381"/>
      <c r="C83" s="381"/>
      <c r="D83" s="381"/>
      <c r="E83" s="381"/>
      <c r="F83" s="381"/>
      <c r="G83" s="381">
        <v>-3.6999999999999998E-2</v>
      </c>
      <c r="H83" s="490"/>
      <c r="I83" s="71"/>
      <c r="T83" s="453" t="s">
        <v>1006</v>
      </c>
      <c r="U83" s="454"/>
      <c r="V83" s="454"/>
      <c r="W83" s="454"/>
      <c r="X83" s="454"/>
      <c r="Y83" s="454" t="s">
        <v>1058</v>
      </c>
      <c r="Z83" s="455"/>
    </row>
    <row r="84" spans="1:26" ht="17.25" x14ac:dyDescent="0.25">
      <c r="A84" s="380" t="s">
        <v>1109</v>
      </c>
      <c r="B84" s="381"/>
      <c r="C84" s="381"/>
      <c r="D84" s="381"/>
      <c r="E84" s="381"/>
      <c r="F84" s="381"/>
      <c r="G84" s="381">
        <v>-0.12620000000000001</v>
      </c>
      <c r="H84" s="490"/>
      <c r="I84" s="71"/>
      <c r="T84" s="453" t="s">
        <v>1007</v>
      </c>
      <c r="U84" s="454"/>
      <c r="V84" s="454"/>
      <c r="W84" s="454"/>
      <c r="X84" s="454"/>
      <c r="Y84" s="454" t="s">
        <v>977</v>
      </c>
      <c r="Z84" s="455"/>
    </row>
    <row r="85" spans="1:26" ht="18" x14ac:dyDescent="0.25">
      <c r="A85" s="380" t="s">
        <v>1110</v>
      </c>
      <c r="B85" s="381"/>
      <c r="C85" s="381"/>
      <c r="D85" s="381"/>
      <c r="E85" s="381"/>
      <c r="F85" s="381"/>
      <c r="G85" s="381">
        <v>-0.13</v>
      </c>
      <c r="H85" s="490"/>
      <c r="I85" s="71"/>
      <c r="T85" s="453" t="s">
        <v>1008</v>
      </c>
      <c r="U85" s="454"/>
      <c r="V85" s="454"/>
      <c r="W85" s="454"/>
      <c r="X85" s="454"/>
      <c r="Y85" s="454" t="s">
        <v>1062</v>
      </c>
      <c r="Z85" s="455"/>
    </row>
    <row r="86" spans="1:26" ht="18.75" customHeight="1" x14ac:dyDescent="0.25">
      <c r="A86" s="380" t="s">
        <v>1111</v>
      </c>
      <c r="B86" s="381"/>
      <c r="C86" s="381"/>
      <c r="D86" s="381"/>
      <c r="E86" s="381"/>
      <c r="F86" s="381"/>
      <c r="G86" s="381">
        <v>-0.13750000000000001</v>
      </c>
      <c r="H86" s="490"/>
      <c r="I86" s="71"/>
      <c r="T86" s="453" t="s">
        <v>1009</v>
      </c>
      <c r="U86" s="454"/>
      <c r="V86" s="454"/>
      <c r="W86" s="454"/>
      <c r="X86" s="454"/>
      <c r="Y86" s="454" t="s">
        <v>1063</v>
      </c>
      <c r="Z86" s="455"/>
    </row>
    <row r="87" spans="1:26" ht="17.25" x14ac:dyDescent="0.25">
      <c r="A87" s="380" t="s">
        <v>1112</v>
      </c>
      <c r="B87" s="381"/>
      <c r="C87" s="381"/>
      <c r="D87" s="381"/>
      <c r="E87" s="381"/>
      <c r="F87" s="381"/>
      <c r="G87" s="381">
        <v>-0.25700000000000001</v>
      </c>
      <c r="H87" s="490"/>
      <c r="I87" s="71"/>
      <c r="T87" s="453" t="s">
        <v>1010</v>
      </c>
      <c r="U87" s="454"/>
      <c r="V87" s="454"/>
      <c r="W87" s="454"/>
      <c r="X87" s="454"/>
      <c r="Y87" s="454" t="s">
        <v>1060</v>
      </c>
      <c r="Z87" s="455"/>
    </row>
    <row r="88" spans="1:26" ht="18.75" customHeight="1" x14ac:dyDescent="0.25">
      <c r="A88" s="380" t="s">
        <v>1113</v>
      </c>
      <c r="B88" s="381"/>
      <c r="C88" s="381"/>
      <c r="D88" s="381"/>
      <c r="E88" s="381"/>
      <c r="F88" s="381"/>
      <c r="G88" s="381">
        <v>-0.28000000000000003</v>
      </c>
      <c r="H88" s="490"/>
      <c r="I88" s="71"/>
      <c r="T88" s="453" t="s">
        <v>1011</v>
      </c>
      <c r="U88" s="454"/>
      <c r="V88" s="454"/>
      <c r="W88" s="454"/>
      <c r="X88" s="454"/>
      <c r="Y88" s="454" t="s">
        <v>1064</v>
      </c>
      <c r="Z88" s="455"/>
    </row>
    <row r="89" spans="1:26" ht="18" x14ac:dyDescent="0.25">
      <c r="A89" s="380" t="s">
        <v>1114</v>
      </c>
      <c r="B89" s="381"/>
      <c r="C89" s="381"/>
      <c r="D89" s="381"/>
      <c r="E89" s="381"/>
      <c r="F89" s="381"/>
      <c r="G89" s="381">
        <v>-0.35880000000000001</v>
      </c>
      <c r="H89" s="490"/>
      <c r="I89" s="71"/>
      <c r="T89" s="453" t="s">
        <v>1012</v>
      </c>
      <c r="U89" s="454"/>
      <c r="V89" s="454"/>
      <c r="W89" s="454"/>
      <c r="X89" s="454"/>
      <c r="Y89" s="454" t="s">
        <v>978</v>
      </c>
      <c r="Z89" s="455"/>
    </row>
    <row r="90" spans="1:26" ht="17.25" x14ac:dyDescent="0.25">
      <c r="A90" s="380" t="s">
        <v>1115</v>
      </c>
      <c r="B90" s="381"/>
      <c r="C90" s="381"/>
      <c r="D90" s="381"/>
      <c r="E90" s="381"/>
      <c r="F90" s="381"/>
      <c r="G90" s="381">
        <v>-0.40699999999999997</v>
      </c>
      <c r="H90" s="490"/>
      <c r="I90" s="71"/>
      <c r="T90" s="453" t="s">
        <v>1013</v>
      </c>
      <c r="U90" s="454"/>
      <c r="V90" s="454"/>
      <c r="W90" s="454"/>
      <c r="X90" s="454"/>
      <c r="Y90" s="454" t="s">
        <v>979</v>
      </c>
      <c r="Z90" s="455"/>
    </row>
    <row r="91" spans="1:26" ht="17.25" x14ac:dyDescent="0.25">
      <c r="A91" s="380" t="s">
        <v>1116</v>
      </c>
      <c r="B91" s="381"/>
      <c r="C91" s="381"/>
      <c r="D91" s="381"/>
      <c r="E91" s="381"/>
      <c r="F91" s="381"/>
      <c r="G91" s="381">
        <v>-0.44700000000000001</v>
      </c>
      <c r="H91" s="490"/>
      <c r="I91" s="71"/>
      <c r="T91" s="453" t="s">
        <v>1014</v>
      </c>
      <c r="U91" s="454"/>
      <c r="V91" s="454"/>
      <c r="W91" s="454"/>
      <c r="X91" s="454"/>
      <c r="Y91" s="454" t="s">
        <v>980</v>
      </c>
      <c r="Z91" s="455"/>
    </row>
    <row r="92" spans="1:26" ht="18" x14ac:dyDescent="0.25">
      <c r="A92" s="380" t="s">
        <v>1117</v>
      </c>
      <c r="B92" s="381"/>
      <c r="C92" s="381"/>
      <c r="D92" s="381"/>
      <c r="E92" s="381"/>
      <c r="F92" s="381"/>
      <c r="G92" s="381">
        <v>-0.74399999999999999</v>
      </c>
      <c r="H92" s="490"/>
      <c r="I92" s="71"/>
      <c r="T92" s="453" t="s">
        <v>1015</v>
      </c>
      <c r="U92" s="454"/>
      <c r="V92" s="454"/>
      <c r="W92" s="454"/>
      <c r="X92" s="454"/>
      <c r="Y92" s="454" t="s">
        <v>981</v>
      </c>
      <c r="Z92" s="455"/>
    </row>
    <row r="93" spans="1:26" ht="17.25" x14ac:dyDescent="0.25">
      <c r="A93" s="380" t="s">
        <v>1118</v>
      </c>
      <c r="B93" s="381"/>
      <c r="C93" s="381"/>
      <c r="D93" s="381"/>
      <c r="E93" s="381"/>
      <c r="F93" s="381"/>
      <c r="G93" s="381">
        <v>-0.76180000000000003</v>
      </c>
      <c r="H93" s="490"/>
      <c r="I93" s="71"/>
      <c r="T93" s="453" t="s">
        <v>1016</v>
      </c>
      <c r="U93" s="454"/>
      <c r="V93" s="454"/>
      <c r="W93" s="454"/>
      <c r="X93" s="454"/>
      <c r="Y93" s="454" t="s">
        <v>1065</v>
      </c>
      <c r="Z93" s="455"/>
    </row>
    <row r="94" spans="1:26" ht="18.75" customHeight="1" x14ac:dyDescent="0.25">
      <c r="A94" s="380" t="s">
        <v>1119</v>
      </c>
      <c r="B94" s="381"/>
      <c r="C94" s="381"/>
      <c r="D94" s="381"/>
      <c r="E94" s="381"/>
      <c r="F94" s="381"/>
      <c r="G94" s="381">
        <v>-0.82769999999999999</v>
      </c>
      <c r="H94" s="490"/>
      <c r="I94" s="71"/>
      <c r="T94" s="453" t="s">
        <v>1017</v>
      </c>
      <c r="U94" s="454"/>
      <c r="V94" s="454"/>
      <c r="W94" s="454"/>
      <c r="X94" s="454"/>
      <c r="Y94" s="454" t="s">
        <v>982</v>
      </c>
      <c r="Z94" s="455"/>
    </row>
    <row r="95" spans="1:26" ht="17.25" x14ac:dyDescent="0.25">
      <c r="A95" s="380" t="s">
        <v>1120</v>
      </c>
      <c r="B95" s="381"/>
      <c r="C95" s="381"/>
      <c r="D95" s="381"/>
      <c r="E95" s="381"/>
      <c r="F95" s="381"/>
      <c r="G95" s="381">
        <v>-0.91300000000000003</v>
      </c>
      <c r="H95" s="490"/>
      <c r="I95" s="71"/>
      <c r="T95" s="453" t="s">
        <v>1018</v>
      </c>
      <c r="U95" s="454"/>
      <c r="V95" s="454"/>
      <c r="W95" s="454"/>
      <c r="X95" s="454"/>
      <c r="Y95" s="454" t="s">
        <v>1066</v>
      </c>
      <c r="Z95" s="455"/>
    </row>
    <row r="96" spans="1:26" ht="18" x14ac:dyDescent="0.25">
      <c r="A96" s="380" t="s">
        <v>1121</v>
      </c>
      <c r="B96" s="381"/>
      <c r="C96" s="381"/>
      <c r="D96" s="381"/>
      <c r="E96" s="381"/>
      <c r="F96" s="381"/>
      <c r="G96" s="381">
        <v>-1.1599999999999999</v>
      </c>
      <c r="H96" s="490"/>
      <c r="I96" s="71"/>
      <c r="T96" s="453" t="s">
        <v>1019</v>
      </c>
      <c r="U96" s="454"/>
      <c r="V96" s="454"/>
      <c r="W96" s="454"/>
      <c r="X96" s="454"/>
      <c r="Y96" s="454" t="s">
        <v>983</v>
      </c>
      <c r="Z96" s="455"/>
    </row>
    <row r="97" spans="1:26" ht="18" x14ac:dyDescent="0.25">
      <c r="A97" s="380" t="s">
        <v>1122</v>
      </c>
      <c r="B97" s="381"/>
      <c r="C97" s="381"/>
      <c r="D97" s="381"/>
      <c r="E97" s="381"/>
      <c r="F97" s="381"/>
      <c r="G97" s="381">
        <v>-1.1850000000000001</v>
      </c>
      <c r="H97" s="490"/>
      <c r="I97" s="71"/>
      <c r="T97" s="453" t="s">
        <v>1020</v>
      </c>
      <c r="U97" s="454"/>
      <c r="V97" s="454"/>
      <c r="W97" s="454"/>
      <c r="X97" s="454"/>
      <c r="Y97" s="454" t="s">
        <v>1067</v>
      </c>
      <c r="Z97" s="455"/>
    </row>
    <row r="98" spans="1:26" ht="18.75" customHeight="1" x14ac:dyDescent="0.25">
      <c r="A98" s="380" t="s">
        <v>1123</v>
      </c>
      <c r="B98" s="381"/>
      <c r="C98" s="381"/>
      <c r="D98" s="381"/>
      <c r="E98" s="381"/>
      <c r="F98" s="381"/>
      <c r="G98" s="381">
        <v>-1.6759999999999999</v>
      </c>
      <c r="H98" s="490"/>
      <c r="I98" s="71"/>
      <c r="T98" s="453" t="s">
        <v>1021</v>
      </c>
      <c r="U98" s="454"/>
      <c r="V98" s="454"/>
      <c r="W98" s="454"/>
      <c r="X98" s="454"/>
      <c r="Y98" s="454" t="s">
        <v>984</v>
      </c>
      <c r="Z98" s="455"/>
    </row>
    <row r="99" spans="1:26" ht="18" x14ac:dyDescent="0.25">
      <c r="A99" s="380" t="s">
        <v>1124</v>
      </c>
      <c r="B99" s="381"/>
      <c r="C99" s="381"/>
      <c r="D99" s="381"/>
      <c r="E99" s="381"/>
      <c r="F99" s="381"/>
      <c r="G99" s="381">
        <v>-2.077</v>
      </c>
      <c r="H99" s="490"/>
      <c r="I99" s="71"/>
      <c r="T99" s="453" t="s">
        <v>1022</v>
      </c>
      <c r="U99" s="454"/>
      <c r="V99" s="454"/>
      <c r="W99" s="454"/>
      <c r="X99" s="454"/>
      <c r="Y99" s="454" t="s">
        <v>985</v>
      </c>
      <c r="Z99" s="455"/>
    </row>
    <row r="100" spans="1:26" ht="18" x14ac:dyDescent="0.25">
      <c r="A100" s="380" t="s">
        <v>1125</v>
      </c>
      <c r="B100" s="381"/>
      <c r="C100" s="381"/>
      <c r="D100" s="381"/>
      <c r="E100" s="381"/>
      <c r="F100" s="381"/>
      <c r="G100" s="381">
        <v>-2.3719999999999999</v>
      </c>
      <c r="H100" s="490"/>
      <c r="I100" s="71"/>
      <c r="T100" s="453" t="s">
        <v>1023</v>
      </c>
      <c r="U100" s="454"/>
      <c r="V100" s="454"/>
      <c r="W100" s="454"/>
      <c r="X100" s="454"/>
      <c r="Y100" s="454" t="s">
        <v>986</v>
      </c>
      <c r="Z100" s="455"/>
    </row>
    <row r="101" spans="1:26" ht="17.25" x14ac:dyDescent="0.25">
      <c r="A101" s="380" t="s">
        <v>1126</v>
      </c>
      <c r="B101" s="381"/>
      <c r="C101" s="381"/>
      <c r="D101" s="381"/>
      <c r="E101" s="381"/>
      <c r="F101" s="381"/>
      <c r="G101" s="381">
        <v>-2.71</v>
      </c>
      <c r="H101" s="490"/>
      <c r="I101" s="71"/>
      <c r="T101" s="453" t="s">
        <v>1024</v>
      </c>
      <c r="U101" s="454"/>
      <c r="V101" s="454"/>
      <c r="W101" s="454"/>
      <c r="X101" s="454"/>
      <c r="Y101" s="454" t="s">
        <v>1068</v>
      </c>
      <c r="Z101" s="455"/>
    </row>
    <row r="102" spans="1:26" ht="18.75" customHeight="1" x14ac:dyDescent="0.25">
      <c r="A102" s="380" t="s">
        <v>1127</v>
      </c>
      <c r="B102" s="381"/>
      <c r="C102" s="381"/>
      <c r="D102" s="381"/>
      <c r="E102" s="381"/>
      <c r="F102" s="381"/>
      <c r="G102" s="381">
        <v>-2.8679999999999999</v>
      </c>
      <c r="H102" s="490"/>
      <c r="I102" s="71"/>
      <c r="T102" s="453" t="s">
        <v>1025</v>
      </c>
      <c r="U102" s="454"/>
      <c r="V102" s="454"/>
      <c r="W102" s="454"/>
      <c r="X102" s="454"/>
      <c r="Y102" s="454" t="s">
        <v>1069</v>
      </c>
      <c r="Z102" s="455"/>
    </row>
    <row r="103" spans="1:26" ht="18.75" customHeight="1" thickBot="1" x14ac:dyDescent="0.3">
      <c r="A103" s="384" t="s">
        <v>1128</v>
      </c>
      <c r="B103" s="385"/>
      <c r="C103" s="385"/>
      <c r="D103" s="385"/>
      <c r="E103" s="385"/>
      <c r="F103" s="385"/>
      <c r="G103" s="385">
        <v>-2.9119999999999999</v>
      </c>
      <c r="H103" s="494"/>
      <c r="I103" s="71"/>
      <c r="T103" s="453" t="s">
        <v>1026</v>
      </c>
      <c r="U103" s="454"/>
      <c r="V103" s="454"/>
      <c r="W103" s="454"/>
      <c r="X103" s="454"/>
      <c r="Y103" s="454" t="s">
        <v>987</v>
      </c>
      <c r="Z103" s="455"/>
    </row>
    <row r="104" spans="1:26" ht="18.75" customHeight="1" x14ac:dyDescent="0.25">
      <c r="T104" s="453" t="s">
        <v>1027</v>
      </c>
      <c r="U104" s="454"/>
      <c r="V104" s="454"/>
      <c r="W104" s="454"/>
      <c r="X104" s="454"/>
      <c r="Y104" s="454" t="s">
        <v>988</v>
      </c>
      <c r="Z104" s="455"/>
    </row>
    <row r="105" spans="1:26" ht="18.75" customHeight="1" x14ac:dyDescent="0.25">
      <c r="T105" s="453" t="s">
        <v>1028</v>
      </c>
      <c r="U105" s="454"/>
      <c r="V105" s="454"/>
      <c r="W105" s="454"/>
      <c r="X105" s="454"/>
      <c r="Y105" s="454" t="s">
        <v>989</v>
      </c>
      <c r="Z105" s="455"/>
    </row>
    <row r="106" spans="1:26" ht="18.75" customHeight="1" x14ac:dyDescent="0.25">
      <c r="T106" s="453" t="s">
        <v>1029</v>
      </c>
      <c r="U106" s="454"/>
      <c r="V106" s="454"/>
      <c r="W106" s="454"/>
      <c r="X106" s="454"/>
      <c r="Y106" s="454" t="s">
        <v>990</v>
      </c>
      <c r="Z106" s="455"/>
    </row>
    <row r="107" spans="1:26" ht="18" x14ac:dyDescent="0.25">
      <c r="T107" s="453" t="s">
        <v>1030</v>
      </c>
      <c r="U107" s="454"/>
      <c r="V107" s="454"/>
      <c r="W107" s="454"/>
      <c r="X107" s="454"/>
      <c r="Y107" s="454" t="s">
        <v>1070</v>
      </c>
      <c r="Z107" s="455"/>
    </row>
    <row r="108" spans="1:26" ht="18" x14ac:dyDescent="0.25">
      <c r="T108" s="453" t="s">
        <v>1031</v>
      </c>
      <c r="U108" s="454"/>
      <c r="V108" s="454"/>
      <c r="W108" s="454"/>
      <c r="X108" s="454"/>
      <c r="Y108" s="454" t="s">
        <v>991</v>
      </c>
      <c r="Z108" s="455"/>
    </row>
    <row r="109" spans="1:26" ht="18.75" customHeight="1" x14ac:dyDescent="0.25">
      <c r="T109" s="453" t="s">
        <v>1032</v>
      </c>
      <c r="U109" s="454"/>
      <c r="V109" s="454"/>
      <c r="W109" s="454"/>
      <c r="X109" s="454"/>
      <c r="Y109" s="454" t="s">
        <v>1071</v>
      </c>
      <c r="Z109" s="455"/>
    </row>
    <row r="110" spans="1:26" ht="18.75" customHeight="1" x14ac:dyDescent="0.25">
      <c r="T110" s="453" t="s">
        <v>1033</v>
      </c>
      <c r="U110" s="454"/>
      <c r="V110" s="454"/>
      <c r="W110" s="454"/>
      <c r="X110" s="454"/>
      <c r="Y110" s="454" t="s">
        <v>1072</v>
      </c>
      <c r="Z110" s="455"/>
    </row>
    <row r="111" spans="1:26" ht="18.75" customHeight="1" x14ac:dyDescent="0.25">
      <c r="T111" s="453" t="s">
        <v>1034</v>
      </c>
      <c r="U111" s="454"/>
      <c r="V111" s="454"/>
      <c r="W111" s="454"/>
      <c r="X111" s="454"/>
      <c r="Y111" s="454" t="s">
        <v>992</v>
      </c>
      <c r="Z111" s="455"/>
    </row>
    <row r="112" spans="1:26" ht="18.75" customHeight="1" x14ac:dyDescent="0.25">
      <c r="T112" s="453" t="s">
        <v>1035</v>
      </c>
      <c r="U112" s="454"/>
      <c r="V112" s="454"/>
      <c r="W112" s="454"/>
      <c r="X112" s="454"/>
      <c r="Y112" s="454" t="s">
        <v>993</v>
      </c>
      <c r="Z112" s="455"/>
    </row>
    <row r="113" spans="20:26" ht="18.75" customHeight="1" x14ac:dyDescent="0.25">
      <c r="T113" s="453" t="s">
        <v>1036</v>
      </c>
      <c r="U113" s="454"/>
      <c r="V113" s="454"/>
      <c r="W113" s="454"/>
      <c r="X113" s="454"/>
      <c r="Y113" s="454" t="s">
        <v>994</v>
      </c>
      <c r="Z113" s="455"/>
    </row>
    <row r="114" spans="20:26" ht="18.75" customHeight="1" x14ac:dyDescent="0.25">
      <c r="T114" s="453" t="s">
        <v>1037</v>
      </c>
      <c r="U114" s="454"/>
      <c r="V114" s="454"/>
      <c r="W114" s="454"/>
      <c r="X114" s="454"/>
      <c r="Y114" s="454" t="s">
        <v>1073</v>
      </c>
      <c r="Z114" s="455"/>
    </row>
    <row r="115" spans="20:26" ht="18" x14ac:dyDescent="0.25">
      <c r="T115" s="453" t="s">
        <v>1038</v>
      </c>
      <c r="U115" s="454"/>
      <c r="V115" s="454"/>
      <c r="W115" s="454"/>
      <c r="X115" s="454"/>
      <c r="Y115" s="454" t="s">
        <v>1074</v>
      </c>
      <c r="Z115" s="455"/>
    </row>
    <row r="116" spans="20:26" ht="18" x14ac:dyDescent="0.25">
      <c r="T116" s="453" t="s">
        <v>1039</v>
      </c>
      <c r="U116" s="454"/>
      <c r="V116" s="454"/>
      <c r="W116" s="454"/>
      <c r="X116" s="454"/>
      <c r="Y116" s="454" t="s">
        <v>995</v>
      </c>
      <c r="Z116" s="455"/>
    </row>
    <row r="117" spans="20:26" ht="18.75" customHeight="1" x14ac:dyDescent="0.25">
      <c r="T117" s="453" t="s">
        <v>1040</v>
      </c>
      <c r="U117" s="454"/>
      <c r="V117" s="454"/>
      <c r="W117" s="454"/>
      <c r="X117" s="454"/>
      <c r="Y117" s="454" t="s">
        <v>1075</v>
      </c>
      <c r="Z117" s="455"/>
    </row>
    <row r="118" spans="20:26" ht="18.75" customHeight="1" x14ac:dyDescent="0.25">
      <c r="T118" s="453" t="s">
        <v>1041</v>
      </c>
      <c r="U118" s="454"/>
      <c r="V118" s="454"/>
      <c r="W118" s="454"/>
      <c r="X118" s="454"/>
      <c r="Y118" s="454" t="s">
        <v>1076</v>
      </c>
      <c r="Z118" s="455"/>
    </row>
    <row r="119" spans="20:26" ht="18.75" customHeight="1" x14ac:dyDescent="0.25">
      <c r="T119" s="453" t="s">
        <v>1042</v>
      </c>
      <c r="U119" s="454"/>
      <c r="V119" s="454"/>
      <c r="W119" s="454"/>
      <c r="X119" s="454"/>
      <c r="Y119" s="454" t="s">
        <v>996</v>
      </c>
      <c r="Z119" s="455"/>
    </row>
    <row r="120" spans="20:26" ht="18" x14ac:dyDescent="0.25">
      <c r="T120" s="453" t="s">
        <v>1043</v>
      </c>
      <c r="U120" s="454"/>
      <c r="V120" s="454"/>
      <c r="W120" s="454"/>
      <c r="X120" s="454"/>
      <c r="Y120" s="454" t="s">
        <v>997</v>
      </c>
      <c r="Z120" s="455"/>
    </row>
    <row r="121" spans="20:26" ht="18.75" customHeight="1" thickBot="1" x14ac:dyDescent="0.3">
      <c r="T121" s="469" t="s">
        <v>1044</v>
      </c>
      <c r="U121" s="470"/>
      <c r="V121" s="470"/>
      <c r="W121" s="470"/>
      <c r="X121" s="470"/>
      <c r="Y121" s="470" t="s">
        <v>1061</v>
      </c>
      <c r="Z121" s="471"/>
    </row>
    <row r="122" spans="20:26" ht="18.75" customHeight="1" x14ac:dyDescent="0.25"/>
    <row r="126" spans="20:26" ht="18.75" customHeight="1" x14ac:dyDescent="0.25"/>
  </sheetData>
  <mergeCells count="312">
    <mergeCell ref="T71:Z71"/>
    <mergeCell ref="A55:F55"/>
    <mergeCell ref="G55:H55"/>
    <mergeCell ref="G56:H56"/>
    <mergeCell ref="A51:H51"/>
    <mergeCell ref="A52:H52"/>
    <mergeCell ref="G100:H100"/>
    <mergeCell ref="G101:H101"/>
    <mergeCell ref="G102:H102"/>
    <mergeCell ref="G77:H77"/>
    <mergeCell ref="G78:H78"/>
    <mergeCell ref="G79:H79"/>
    <mergeCell ref="G70:H70"/>
    <mergeCell ref="G71:H71"/>
    <mergeCell ref="G72:H72"/>
    <mergeCell ref="G73:H73"/>
    <mergeCell ref="G74:H74"/>
    <mergeCell ref="A102:F102"/>
    <mergeCell ref="A96:F96"/>
    <mergeCell ref="A87:F87"/>
    <mergeCell ref="A88:F88"/>
    <mergeCell ref="A89:F89"/>
    <mergeCell ref="A90:F90"/>
    <mergeCell ref="A91:F91"/>
    <mergeCell ref="G103:H103"/>
    <mergeCell ref="A56:F56"/>
    <mergeCell ref="G95:H95"/>
    <mergeCell ref="G96:H96"/>
    <mergeCell ref="G97:H97"/>
    <mergeCell ref="G98:H98"/>
    <mergeCell ref="G99:H99"/>
    <mergeCell ref="G90:H90"/>
    <mergeCell ref="G91:H91"/>
    <mergeCell ref="G92:H92"/>
    <mergeCell ref="G93:H93"/>
    <mergeCell ref="G94:H94"/>
    <mergeCell ref="G85:H85"/>
    <mergeCell ref="G86:H86"/>
    <mergeCell ref="G87:H87"/>
    <mergeCell ref="G88:H88"/>
    <mergeCell ref="G89:H89"/>
    <mergeCell ref="G80:H80"/>
    <mergeCell ref="G81:H81"/>
    <mergeCell ref="G82:H82"/>
    <mergeCell ref="G83:H83"/>
    <mergeCell ref="G84:H84"/>
    <mergeCell ref="G75:H75"/>
    <mergeCell ref="G76:H76"/>
    <mergeCell ref="A103:F103"/>
    <mergeCell ref="G54:H54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A97:F97"/>
    <mergeCell ref="A98:F98"/>
    <mergeCell ref="A99:F99"/>
    <mergeCell ref="A100:F100"/>
    <mergeCell ref="A101:F101"/>
    <mergeCell ref="A92:F92"/>
    <mergeCell ref="A93:F93"/>
    <mergeCell ref="A94:F94"/>
    <mergeCell ref="A95:F95"/>
    <mergeCell ref="A82:F82"/>
    <mergeCell ref="A83:F83"/>
    <mergeCell ref="A84:F84"/>
    <mergeCell ref="A85:F85"/>
    <mergeCell ref="A86:F86"/>
    <mergeCell ref="A77:F77"/>
    <mergeCell ref="A78:F78"/>
    <mergeCell ref="A79:F79"/>
    <mergeCell ref="A80:F80"/>
    <mergeCell ref="A81:F81"/>
    <mergeCell ref="A72:F72"/>
    <mergeCell ref="A73:F73"/>
    <mergeCell ref="A74:F74"/>
    <mergeCell ref="A75:F75"/>
    <mergeCell ref="A76:F76"/>
    <mergeCell ref="A65:F65"/>
    <mergeCell ref="A66:F66"/>
    <mergeCell ref="A67:F67"/>
    <mergeCell ref="A68:F68"/>
    <mergeCell ref="A69:F69"/>
    <mergeCell ref="A70:F70"/>
    <mergeCell ref="A71:F71"/>
    <mergeCell ref="A54:F54"/>
    <mergeCell ref="A57:F57"/>
    <mergeCell ref="A58:F58"/>
    <mergeCell ref="A59:F59"/>
    <mergeCell ref="A60:F60"/>
    <mergeCell ref="B31:F38"/>
    <mergeCell ref="A49:B49"/>
    <mergeCell ref="C49:D49"/>
    <mergeCell ref="E48:G49"/>
    <mergeCell ref="A40:G40"/>
    <mergeCell ref="A41:G41"/>
    <mergeCell ref="A42:G42"/>
    <mergeCell ref="A43:G43"/>
    <mergeCell ref="A44:G44"/>
    <mergeCell ref="A46:G46"/>
    <mergeCell ref="A47:B47"/>
    <mergeCell ref="E47:G47"/>
    <mergeCell ref="A53:F53"/>
    <mergeCell ref="G53:H53"/>
    <mergeCell ref="Y117:Z117"/>
    <mergeCell ref="Y118:Z118"/>
    <mergeCell ref="Y119:Z119"/>
    <mergeCell ref="Y120:Z120"/>
    <mergeCell ref="Y121:Z121"/>
    <mergeCell ref="Y112:Z112"/>
    <mergeCell ref="Y113:Z113"/>
    <mergeCell ref="Y114:Z114"/>
    <mergeCell ref="Y115:Z115"/>
    <mergeCell ref="Y116:Z116"/>
    <mergeCell ref="Y107:Z107"/>
    <mergeCell ref="Y108:Z108"/>
    <mergeCell ref="Y109:Z109"/>
    <mergeCell ref="Y110:Z110"/>
    <mergeCell ref="Y111:Z111"/>
    <mergeCell ref="Y102:Z102"/>
    <mergeCell ref="Y103:Z103"/>
    <mergeCell ref="Y104:Z104"/>
    <mergeCell ref="Y105:Z105"/>
    <mergeCell ref="Y106:Z106"/>
    <mergeCell ref="Y97:Z97"/>
    <mergeCell ref="Y98:Z98"/>
    <mergeCell ref="Y99:Z99"/>
    <mergeCell ref="Y100:Z100"/>
    <mergeCell ref="Y101:Z101"/>
    <mergeCell ref="Y92:Z92"/>
    <mergeCell ref="Y93:Z93"/>
    <mergeCell ref="Y94:Z94"/>
    <mergeCell ref="Y95:Z95"/>
    <mergeCell ref="Y96:Z96"/>
    <mergeCell ref="Y87:Z87"/>
    <mergeCell ref="Y88:Z88"/>
    <mergeCell ref="Y89:Z89"/>
    <mergeCell ref="Y90:Z90"/>
    <mergeCell ref="Y91:Z91"/>
    <mergeCell ref="Y82:Z82"/>
    <mergeCell ref="Y83:Z83"/>
    <mergeCell ref="Y84:Z84"/>
    <mergeCell ref="Y85:Z85"/>
    <mergeCell ref="Y86:Z86"/>
    <mergeCell ref="Y77:Z77"/>
    <mergeCell ref="Y78:Z78"/>
    <mergeCell ref="Y79:Z79"/>
    <mergeCell ref="Y80:Z80"/>
    <mergeCell ref="Y81:Z81"/>
    <mergeCell ref="Y72:Z72"/>
    <mergeCell ref="Y75:Z75"/>
    <mergeCell ref="Y76:Z76"/>
    <mergeCell ref="T74:X74"/>
    <mergeCell ref="Y73:Z73"/>
    <mergeCell ref="T73:X73"/>
    <mergeCell ref="Y74:Z74"/>
    <mergeCell ref="A62:F62"/>
    <mergeCell ref="A63:F63"/>
    <mergeCell ref="A64:F64"/>
    <mergeCell ref="T117:X117"/>
    <mergeCell ref="T118:X118"/>
    <mergeCell ref="T119:X119"/>
    <mergeCell ref="T120:X120"/>
    <mergeCell ref="T121:X121"/>
    <mergeCell ref="T112:X112"/>
    <mergeCell ref="T113:X113"/>
    <mergeCell ref="T114:X114"/>
    <mergeCell ref="T115:X115"/>
    <mergeCell ref="T116:X116"/>
    <mergeCell ref="T107:X107"/>
    <mergeCell ref="T108:X108"/>
    <mergeCell ref="T109:X109"/>
    <mergeCell ref="T110:X110"/>
    <mergeCell ref="T111:X111"/>
    <mergeCell ref="T102:X102"/>
    <mergeCell ref="T103:X103"/>
    <mergeCell ref="T104:X104"/>
    <mergeCell ref="T105:X105"/>
    <mergeCell ref="T106:X106"/>
    <mergeCell ref="T97:X97"/>
    <mergeCell ref="T98:X98"/>
    <mergeCell ref="T99:X99"/>
    <mergeCell ref="T100:X100"/>
    <mergeCell ref="T101:X101"/>
    <mergeCell ref="T92:X92"/>
    <mergeCell ref="T93:X93"/>
    <mergeCell ref="T94:X94"/>
    <mergeCell ref="T95:X95"/>
    <mergeCell ref="T96:X96"/>
    <mergeCell ref="T87:X87"/>
    <mergeCell ref="T88:X88"/>
    <mergeCell ref="T89:X89"/>
    <mergeCell ref="T90:X90"/>
    <mergeCell ref="T91:X91"/>
    <mergeCell ref="T72:X72"/>
    <mergeCell ref="T75:X75"/>
    <mergeCell ref="T76:X76"/>
    <mergeCell ref="T77:X77"/>
    <mergeCell ref="T78:X78"/>
    <mergeCell ref="T79:X79"/>
    <mergeCell ref="T80:X80"/>
    <mergeCell ref="T81:X81"/>
    <mergeCell ref="T82:X82"/>
    <mergeCell ref="T83:X83"/>
    <mergeCell ref="T84:X84"/>
    <mergeCell ref="T85:X85"/>
    <mergeCell ref="T86:X86"/>
    <mergeCell ref="A1:E1"/>
    <mergeCell ref="A2:E2"/>
    <mergeCell ref="A3:E3"/>
    <mergeCell ref="M13:R16"/>
    <mergeCell ref="M10:R12"/>
    <mergeCell ref="M8:R9"/>
    <mergeCell ref="M2:R2"/>
    <mergeCell ref="M7:R7"/>
    <mergeCell ref="M3:R3"/>
    <mergeCell ref="M4:R4"/>
    <mergeCell ref="A6:G6"/>
    <mergeCell ref="D8:G8"/>
    <mergeCell ref="M6:R6"/>
    <mergeCell ref="M5:R5"/>
    <mergeCell ref="A25:B25"/>
    <mergeCell ref="A26:B26"/>
    <mergeCell ref="A27:B27"/>
    <mergeCell ref="A28:B28"/>
    <mergeCell ref="A29:B29"/>
    <mergeCell ref="A19:B19"/>
    <mergeCell ref="D22:G29"/>
    <mergeCell ref="V27:Y27"/>
    <mergeCell ref="V28:Y28"/>
    <mergeCell ref="M23:R24"/>
    <mergeCell ref="K70:R70"/>
    <mergeCell ref="K71:R72"/>
    <mergeCell ref="K73:R73"/>
    <mergeCell ref="K63:R63"/>
    <mergeCell ref="K64:R64"/>
    <mergeCell ref="K65:R66"/>
    <mergeCell ref="K67:R67"/>
    <mergeCell ref="K68:R69"/>
    <mergeCell ref="M20:R21"/>
    <mergeCell ref="M22:R22"/>
    <mergeCell ref="T2:AF2"/>
    <mergeCell ref="T3:U5"/>
    <mergeCell ref="V3:AF3"/>
    <mergeCell ref="T6:T22"/>
    <mergeCell ref="T68:AA68"/>
    <mergeCell ref="K38:R38"/>
    <mergeCell ref="K39:R52"/>
    <mergeCell ref="T23:AF23"/>
    <mergeCell ref="V24:Y24"/>
    <mergeCell ref="Z24:AF28"/>
    <mergeCell ref="V25:Y25"/>
    <mergeCell ref="V26:Y26"/>
    <mergeCell ref="M19:R19"/>
    <mergeCell ref="M18:R18"/>
    <mergeCell ref="T69:AA69"/>
    <mergeCell ref="A9:B9"/>
    <mergeCell ref="A10:B10"/>
    <mergeCell ref="A11:B11"/>
    <mergeCell ref="A12:B12"/>
    <mergeCell ref="T30:AA30"/>
    <mergeCell ref="T31:AA35"/>
    <mergeCell ref="T36:AA45"/>
    <mergeCell ref="T46:AA55"/>
    <mergeCell ref="T56:AA65"/>
    <mergeCell ref="T66:AA66"/>
    <mergeCell ref="K53:R54"/>
    <mergeCell ref="K55:R56"/>
    <mergeCell ref="K58:R58"/>
    <mergeCell ref="K57:R57"/>
    <mergeCell ref="A15:B15"/>
    <mergeCell ref="A16:B16"/>
    <mergeCell ref="A17:B17"/>
    <mergeCell ref="A18:B18"/>
    <mergeCell ref="T67:AA67"/>
    <mergeCell ref="K59:R59"/>
    <mergeCell ref="K60:R61"/>
    <mergeCell ref="K36:R36"/>
    <mergeCell ref="K37:R37"/>
    <mergeCell ref="K79:R79"/>
    <mergeCell ref="K80:R81"/>
    <mergeCell ref="A7:C7"/>
    <mergeCell ref="A8:B8"/>
    <mergeCell ref="D7:G7"/>
    <mergeCell ref="K74:R75"/>
    <mergeCell ref="K76:R76"/>
    <mergeCell ref="K77:R78"/>
    <mergeCell ref="A20:B20"/>
    <mergeCell ref="A21:B21"/>
    <mergeCell ref="A22:B22"/>
    <mergeCell ref="A23:B23"/>
    <mergeCell ref="A24:B24"/>
    <mergeCell ref="A13:B13"/>
    <mergeCell ref="A14:B14"/>
    <mergeCell ref="D10:G10"/>
    <mergeCell ref="D12:G12"/>
    <mergeCell ref="D15:G15"/>
    <mergeCell ref="D17:G17"/>
    <mergeCell ref="D19:G19"/>
    <mergeCell ref="A61:F61"/>
    <mergeCell ref="A48:B48"/>
    <mergeCell ref="C47:D47"/>
    <mergeCell ref="C48:D48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9490F-FC89-443C-9EB7-97E92AAB3CAB}">
  <dimension ref="A1:AF74"/>
  <sheetViews>
    <sheetView topLeftCell="A7" workbookViewId="0">
      <selection activeCell="P18" sqref="P18"/>
    </sheetView>
  </sheetViews>
  <sheetFormatPr defaultRowHeight="15" x14ac:dyDescent="0.25"/>
  <cols>
    <col min="13" max="13" width="12" bestFit="1" customWidth="1"/>
    <col min="14" max="14" width="12" style="27" customWidth="1"/>
  </cols>
  <sheetData>
    <row r="1" spans="1:32" x14ac:dyDescent="0.25">
      <c r="A1" s="463" t="s">
        <v>51</v>
      </c>
      <c r="B1" s="463"/>
      <c r="C1" s="463"/>
      <c r="D1" s="463"/>
      <c r="E1" s="463"/>
    </row>
    <row r="2" spans="1:32" ht="15.75" thickBot="1" x14ac:dyDescent="0.3">
      <c r="A2" s="524" t="s">
        <v>443</v>
      </c>
      <c r="B2" s="524"/>
      <c r="C2" s="524"/>
      <c r="D2" s="524"/>
      <c r="E2" s="524"/>
    </row>
    <row r="3" spans="1:32" ht="15.75" thickBot="1" x14ac:dyDescent="0.3">
      <c r="A3" s="442" t="s">
        <v>444</v>
      </c>
      <c r="B3" s="442"/>
      <c r="C3" s="442"/>
      <c r="D3" s="442"/>
      <c r="E3" s="442"/>
      <c r="I3" s="27"/>
      <c r="J3" s="27"/>
      <c r="K3" s="388" t="s">
        <v>1184</v>
      </c>
      <c r="L3" s="389"/>
      <c r="M3" s="390"/>
      <c r="N3" s="178"/>
      <c r="T3" s="388" t="s">
        <v>785</v>
      </c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90"/>
    </row>
    <row r="4" spans="1:32" ht="15.75" thickBot="1" x14ac:dyDescent="0.3">
      <c r="J4" s="27"/>
      <c r="K4" s="250" t="s">
        <v>1176</v>
      </c>
      <c r="L4" s="251" t="s">
        <v>1173</v>
      </c>
      <c r="M4" s="258" t="s">
        <v>1</v>
      </c>
      <c r="N4" s="71"/>
      <c r="T4" s="472"/>
      <c r="U4" s="473"/>
      <c r="V4" s="476" t="s">
        <v>761</v>
      </c>
      <c r="W4" s="476"/>
      <c r="X4" s="476"/>
      <c r="Y4" s="476"/>
      <c r="Z4" s="476"/>
      <c r="AA4" s="476"/>
      <c r="AB4" s="476"/>
      <c r="AC4" s="476"/>
      <c r="AD4" s="476"/>
      <c r="AE4" s="476"/>
      <c r="AF4" s="477"/>
    </row>
    <row r="5" spans="1:32" x14ac:dyDescent="0.25">
      <c r="A5" s="1029" t="s">
        <v>1185</v>
      </c>
      <c r="B5" s="1030"/>
      <c r="C5" s="1030"/>
      <c r="D5" s="1030"/>
      <c r="E5" s="1030"/>
      <c r="F5" s="1030"/>
      <c r="G5" s="1031"/>
      <c r="J5" s="27"/>
      <c r="K5" s="252" t="s">
        <v>1174</v>
      </c>
      <c r="L5" s="253" t="s">
        <v>1175</v>
      </c>
      <c r="M5" s="256" t="s">
        <v>5</v>
      </c>
      <c r="N5" s="71"/>
      <c r="T5" s="474"/>
      <c r="U5" s="475"/>
      <c r="V5" s="198" t="s">
        <v>762</v>
      </c>
      <c r="W5" s="198" t="s">
        <v>763</v>
      </c>
      <c r="X5" s="198" t="s">
        <v>764</v>
      </c>
      <c r="Y5" s="198" t="s">
        <v>765</v>
      </c>
      <c r="Z5" s="198" t="s">
        <v>766</v>
      </c>
      <c r="AA5" s="198" t="s">
        <v>767</v>
      </c>
      <c r="AB5" s="198" t="s">
        <v>768</v>
      </c>
      <c r="AC5" s="198" t="s">
        <v>769</v>
      </c>
      <c r="AD5" s="198" t="s">
        <v>770</v>
      </c>
      <c r="AE5" s="198" t="s">
        <v>771</v>
      </c>
      <c r="AF5" s="199" t="s">
        <v>772</v>
      </c>
    </row>
    <row r="6" spans="1:32" ht="18.75" thickBot="1" x14ac:dyDescent="0.3">
      <c r="A6" s="357" t="s">
        <v>1260</v>
      </c>
      <c r="B6" s="358"/>
      <c r="C6" s="358"/>
      <c r="D6" s="358"/>
      <c r="E6" s="358"/>
      <c r="F6" s="358"/>
      <c r="G6" s="359"/>
      <c r="J6" s="27"/>
      <c r="K6" s="380" t="s">
        <v>1177</v>
      </c>
      <c r="L6" s="381"/>
      <c r="M6" s="490"/>
      <c r="N6" s="71"/>
      <c r="T6" s="474"/>
      <c r="U6" s="475"/>
      <c r="V6" s="281" t="s">
        <v>792</v>
      </c>
      <c r="W6" s="281" t="s">
        <v>793</v>
      </c>
      <c r="X6" s="281" t="s">
        <v>794</v>
      </c>
      <c r="Y6" s="281" t="s">
        <v>900</v>
      </c>
      <c r="Z6" s="281" t="s">
        <v>901</v>
      </c>
      <c r="AA6" s="281" t="s">
        <v>795</v>
      </c>
      <c r="AB6" s="281" t="s">
        <v>835</v>
      </c>
      <c r="AC6" s="281" t="s">
        <v>796</v>
      </c>
      <c r="AD6" s="281" t="s">
        <v>797</v>
      </c>
      <c r="AE6" s="281" t="s">
        <v>798</v>
      </c>
      <c r="AF6" s="282" t="s">
        <v>799</v>
      </c>
    </row>
    <row r="7" spans="1:32" ht="18" x14ac:dyDescent="0.25">
      <c r="A7" s="521" t="s">
        <v>35</v>
      </c>
      <c r="B7" s="520"/>
      <c r="C7" s="520"/>
      <c r="D7" s="261" t="s">
        <v>55</v>
      </c>
      <c r="E7" s="520" t="s">
        <v>36</v>
      </c>
      <c r="F7" s="520"/>
      <c r="G7" s="538"/>
      <c r="J7" s="27"/>
      <c r="K7" s="380" t="s">
        <v>1178</v>
      </c>
      <c r="L7" s="381"/>
      <c r="M7" s="262" t="s">
        <v>1179</v>
      </c>
      <c r="N7" s="292"/>
      <c r="T7" s="459" t="s">
        <v>773</v>
      </c>
      <c r="U7" s="281" t="s">
        <v>786</v>
      </c>
      <c r="V7" s="185" t="s">
        <v>774</v>
      </c>
      <c r="W7" s="185" t="s">
        <v>774</v>
      </c>
      <c r="X7" s="185" t="s">
        <v>774</v>
      </c>
      <c r="Y7" s="281" t="s">
        <v>775</v>
      </c>
      <c r="Z7" s="185" t="s">
        <v>774</v>
      </c>
      <c r="AA7" s="185" t="s">
        <v>774</v>
      </c>
      <c r="AB7" s="185" t="s">
        <v>774</v>
      </c>
      <c r="AC7" s="185" t="s">
        <v>774</v>
      </c>
      <c r="AD7" s="185" t="s">
        <v>774</v>
      </c>
      <c r="AE7" s="185" t="s">
        <v>774</v>
      </c>
      <c r="AF7" s="193" t="s">
        <v>774</v>
      </c>
    </row>
    <row r="8" spans="1:32" ht="17.25" x14ac:dyDescent="0.25">
      <c r="A8" s="380" t="s">
        <v>1243</v>
      </c>
      <c r="B8" s="381"/>
      <c r="C8" s="381"/>
      <c r="D8" s="1">
        <f>260*10^-6</f>
        <v>2.5999999999999998E-4</v>
      </c>
      <c r="E8" s="259" t="s">
        <v>1179</v>
      </c>
      <c r="F8" s="524">
        <f>IF(NOT(ISNUMBER(D8)),D9*Faraday_constant,D8)</f>
        <v>2.5999999999999998E-4</v>
      </c>
      <c r="G8" s="602"/>
      <c r="J8" s="27"/>
      <c r="K8" s="380" t="s">
        <v>1180</v>
      </c>
      <c r="L8" s="381"/>
      <c r="M8" s="262" t="s">
        <v>244</v>
      </c>
      <c r="N8" s="292"/>
      <c r="T8" s="459"/>
      <c r="U8" s="281" t="s">
        <v>787</v>
      </c>
      <c r="V8" s="185" t="s">
        <v>774</v>
      </c>
      <c r="W8" s="185" t="s">
        <v>774</v>
      </c>
      <c r="X8" s="185" t="s">
        <v>774</v>
      </c>
      <c r="Y8" s="186" t="s">
        <v>777</v>
      </c>
      <c r="Z8" s="185" t="s">
        <v>774</v>
      </c>
      <c r="AA8" s="185" t="s">
        <v>774</v>
      </c>
      <c r="AB8" s="185" t="s">
        <v>774</v>
      </c>
      <c r="AC8" s="185" t="s">
        <v>774</v>
      </c>
      <c r="AD8" s="185" t="s">
        <v>774</v>
      </c>
      <c r="AE8" s="185" t="s">
        <v>774</v>
      </c>
      <c r="AF8" s="193" t="s">
        <v>774</v>
      </c>
    </row>
    <row r="9" spans="1:32" ht="17.25" x14ac:dyDescent="0.25">
      <c r="A9" s="366" t="s">
        <v>1259</v>
      </c>
      <c r="B9" s="367"/>
      <c r="C9" s="367"/>
      <c r="D9" s="1"/>
      <c r="E9" s="367" t="str">
        <f>IF(F8=0, "Charge",
IF(NOT(ISNUMBER(D10)), "Current I",
IF(NOT(ISNUMBER(D11)), "Time t",
"Check Inputs")))</f>
        <v>Time t</v>
      </c>
      <c r="F9" s="367"/>
      <c r="G9" s="368"/>
      <c r="J9" s="27"/>
      <c r="K9" s="380" t="s">
        <v>1181</v>
      </c>
      <c r="L9" s="381"/>
      <c r="M9" s="262" t="s">
        <v>1182</v>
      </c>
      <c r="N9" s="292"/>
      <c r="T9" s="459"/>
      <c r="U9" s="281" t="s">
        <v>788</v>
      </c>
      <c r="V9" s="185" t="s">
        <v>774</v>
      </c>
      <c r="W9" s="185" t="s">
        <v>774</v>
      </c>
      <c r="X9" s="185" t="s">
        <v>774</v>
      </c>
      <c r="Y9" s="186" t="s">
        <v>777</v>
      </c>
      <c r="Z9" s="185" t="s">
        <v>774</v>
      </c>
      <c r="AA9" s="185" t="s">
        <v>774</v>
      </c>
      <c r="AB9" s="185" t="s">
        <v>774</v>
      </c>
      <c r="AC9" s="185" t="s">
        <v>774</v>
      </c>
      <c r="AD9" s="185" t="s">
        <v>774</v>
      </c>
      <c r="AE9" s="185" t="s">
        <v>774</v>
      </c>
      <c r="AF9" s="193" t="s">
        <v>774</v>
      </c>
    </row>
    <row r="10" spans="1:32" ht="17.25" x14ac:dyDescent="0.25">
      <c r="A10" s="380" t="s">
        <v>1242</v>
      </c>
      <c r="B10" s="381"/>
      <c r="C10" s="381"/>
      <c r="D10" s="1">
        <v>0.77</v>
      </c>
      <c r="E10" s="442">
        <f>IFERROR(
IF(F8=0,D10*D11,
IF(NOT(ISNUMBER(D10)),F8/D11,
IF(NOT(ISNUMBER(D11)),F8/D10,
"Check Inputs"))),
"Check Inputs")</f>
        <v>3.3766233766233762E-4</v>
      </c>
      <c r="F10" s="442"/>
      <c r="G10" s="256" t="str">
        <f>IF(E9="Charge","C",
IF(E9="Current I","A",
IF(E9="Time t","s")))</f>
        <v>s</v>
      </c>
      <c r="J10" s="27"/>
      <c r="K10" s="1025" t="s">
        <v>1183</v>
      </c>
      <c r="L10" s="1026"/>
      <c r="M10" s="1027"/>
      <c r="N10" s="71"/>
      <c r="T10" s="459"/>
      <c r="U10" s="281" t="s">
        <v>817</v>
      </c>
      <c r="V10" s="185" t="s">
        <v>774</v>
      </c>
      <c r="W10" s="185" t="s">
        <v>774</v>
      </c>
      <c r="X10" s="185" t="s">
        <v>774</v>
      </c>
      <c r="Y10" s="187" t="s">
        <v>750</v>
      </c>
      <c r="Z10" s="186" t="s">
        <v>777</v>
      </c>
      <c r="AA10" s="187" t="s">
        <v>750</v>
      </c>
      <c r="AB10" s="188" t="s">
        <v>778</v>
      </c>
      <c r="AC10" s="281" t="s">
        <v>775</v>
      </c>
      <c r="AD10" s="185" t="s">
        <v>774</v>
      </c>
      <c r="AE10" s="185" t="s">
        <v>774</v>
      </c>
      <c r="AF10" s="193" t="s">
        <v>774</v>
      </c>
    </row>
    <row r="11" spans="1:32" ht="17.25" x14ac:dyDescent="0.25">
      <c r="A11" s="1025" t="s">
        <v>1241</v>
      </c>
      <c r="B11" s="1026"/>
      <c r="C11" s="1026"/>
      <c r="D11" s="9"/>
      <c r="E11" s="1028">
        <f>E10</f>
        <v>3.3766233766233762E-4</v>
      </c>
      <c r="F11" s="1028"/>
      <c r="G11" s="269" t="str">
        <f>G10</f>
        <v>s</v>
      </c>
      <c r="J11" s="27"/>
      <c r="K11" s="657" t="s">
        <v>1162</v>
      </c>
      <c r="L11" s="724"/>
      <c r="M11" s="922"/>
      <c r="N11" s="71"/>
      <c r="T11" s="459"/>
      <c r="U11" s="281" t="s">
        <v>818</v>
      </c>
      <c r="V11" s="185" t="s">
        <v>774</v>
      </c>
      <c r="W11" s="185" t="s">
        <v>774</v>
      </c>
      <c r="X11" s="185" t="s">
        <v>774</v>
      </c>
      <c r="Y11" s="186" t="s">
        <v>777</v>
      </c>
      <c r="Z11" s="186" t="s">
        <v>777</v>
      </c>
      <c r="AA11" s="188" t="s">
        <v>778</v>
      </c>
      <c r="AB11" s="187" t="s">
        <v>750</v>
      </c>
      <c r="AC11" s="188" t="s">
        <v>778</v>
      </c>
      <c r="AD11" s="188" t="s">
        <v>778</v>
      </c>
      <c r="AE11" s="185" t="s">
        <v>774</v>
      </c>
      <c r="AF11" s="193" t="s">
        <v>774</v>
      </c>
    </row>
    <row r="12" spans="1:32" ht="18" thickBot="1" x14ac:dyDescent="0.3">
      <c r="A12" s="630"/>
      <c r="B12" s="631"/>
      <c r="C12" s="631"/>
      <c r="D12" s="631"/>
      <c r="E12" s="265" t="str">
        <f>IF(F8=0,(E10/Faraday_constant),"--")</f>
        <v>--</v>
      </c>
      <c r="F12" s="433" t="str">
        <f>IF(G11="C","mol of electrons","--")</f>
        <v>--</v>
      </c>
      <c r="G12" s="1024"/>
      <c r="I12" s="168"/>
      <c r="J12" s="27"/>
      <c r="K12" s="260" t="s">
        <v>200</v>
      </c>
      <c r="L12" s="385" t="s">
        <v>1256</v>
      </c>
      <c r="M12" s="494"/>
      <c r="N12" s="71"/>
      <c r="T12" s="459"/>
      <c r="U12" s="281" t="s">
        <v>819</v>
      </c>
      <c r="V12" s="185" t="s">
        <v>774</v>
      </c>
      <c r="W12" s="185" t="s">
        <v>774</v>
      </c>
      <c r="X12" s="185" t="s">
        <v>774</v>
      </c>
      <c r="Y12" s="185" t="s">
        <v>774</v>
      </c>
      <c r="Z12" s="185" t="s">
        <v>774</v>
      </c>
      <c r="AA12" s="185" t="s">
        <v>774</v>
      </c>
      <c r="AB12" s="187" t="s">
        <v>750</v>
      </c>
      <c r="AC12" s="187" t="s">
        <v>750</v>
      </c>
      <c r="AD12" s="187" t="s">
        <v>750</v>
      </c>
      <c r="AE12" s="185" t="s">
        <v>774</v>
      </c>
      <c r="AF12" s="193" t="s">
        <v>774</v>
      </c>
    </row>
    <row r="13" spans="1:32" ht="18" thickBot="1" x14ac:dyDescent="0.3">
      <c r="J13" s="27"/>
      <c r="N13" s="4"/>
      <c r="T13" s="459"/>
      <c r="U13" s="281" t="s">
        <v>820</v>
      </c>
      <c r="V13" s="185" t="s">
        <v>774</v>
      </c>
      <c r="W13" s="185" t="s">
        <v>774</v>
      </c>
      <c r="X13" s="185" t="s">
        <v>774</v>
      </c>
      <c r="Y13" s="187" t="s">
        <v>750</v>
      </c>
      <c r="Z13" s="187" t="s">
        <v>750</v>
      </c>
      <c r="AA13" s="187" t="s">
        <v>750</v>
      </c>
      <c r="AB13" s="187" t="s">
        <v>750</v>
      </c>
      <c r="AC13" s="281" t="s">
        <v>775</v>
      </c>
      <c r="AD13" s="185" t="s">
        <v>774</v>
      </c>
      <c r="AE13" s="185" t="s">
        <v>774</v>
      </c>
      <c r="AF13" s="193" t="s">
        <v>774</v>
      </c>
    </row>
    <row r="14" spans="1:32" ht="18" thickBot="1" x14ac:dyDescent="0.3">
      <c r="A14" s="375" t="s">
        <v>1275</v>
      </c>
      <c r="B14" s="376"/>
      <c r="C14" s="376"/>
      <c r="D14" s="376"/>
      <c r="E14" s="376"/>
      <c r="F14" s="376"/>
      <c r="G14" s="376"/>
      <c r="H14" s="377"/>
      <c r="J14" s="27"/>
      <c r="K14" s="375" t="s">
        <v>1286</v>
      </c>
      <c r="L14" s="376"/>
      <c r="M14" s="376"/>
      <c r="N14" s="377"/>
      <c r="T14" s="459"/>
      <c r="U14" s="281" t="s">
        <v>821</v>
      </c>
      <c r="V14" s="185" t="s">
        <v>774</v>
      </c>
      <c r="W14" s="185" t="s">
        <v>774</v>
      </c>
      <c r="X14" s="185" t="s">
        <v>774</v>
      </c>
      <c r="Y14" s="187" t="s">
        <v>750</v>
      </c>
      <c r="Z14" s="187" t="s">
        <v>750</v>
      </c>
      <c r="AA14" s="187" t="s">
        <v>750</v>
      </c>
      <c r="AB14" s="187" t="s">
        <v>750</v>
      </c>
      <c r="AC14" s="281" t="s">
        <v>775</v>
      </c>
      <c r="AD14" s="185" t="s">
        <v>774</v>
      </c>
      <c r="AE14" s="185" t="s">
        <v>774</v>
      </c>
      <c r="AF14" s="193" t="s">
        <v>774</v>
      </c>
    </row>
    <row r="15" spans="1:32" ht="17.25" x14ac:dyDescent="0.25">
      <c r="A15" s="521" t="s">
        <v>35</v>
      </c>
      <c r="B15" s="520"/>
      <c r="C15" s="520"/>
      <c r="D15" s="283" t="s">
        <v>55</v>
      </c>
      <c r="E15" s="520" t="s">
        <v>36</v>
      </c>
      <c r="F15" s="520"/>
      <c r="G15" s="520"/>
      <c r="H15" s="538"/>
      <c r="J15" s="27"/>
      <c r="K15" s="1021" t="s">
        <v>1293</v>
      </c>
      <c r="L15" s="1022"/>
      <c r="M15" s="1022"/>
      <c r="N15" s="1023"/>
      <c r="T15" s="459"/>
      <c r="U15" s="281" t="s">
        <v>822</v>
      </c>
      <c r="V15" s="185" t="s">
        <v>774</v>
      </c>
      <c r="W15" s="185" t="s">
        <v>774</v>
      </c>
      <c r="X15" s="281" t="s">
        <v>775</v>
      </c>
      <c r="Y15" s="187" t="s">
        <v>750</v>
      </c>
      <c r="Z15" s="281" t="s">
        <v>775</v>
      </c>
      <c r="AA15" s="187" t="s">
        <v>750</v>
      </c>
      <c r="AB15" s="281" t="s">
        <v>775</v>
      </c>
      <c r="AC15" s="187" t="s">
        <v>750</v>
      </c>
      <c r="AD15" s="185" t="s">
        <v>774</v>
      </c>
      <c r="AE15" s="187" t="s">
        <v>750</v>
      </c>
      <c r="AF15" s="193" t="s">
        <v>774</v>
      </c>
    </row>
    <row r="16" spans="1:32" ht="17.25" x14ac:dyDescent="0.25">
      <c r="A16" s="380" t="s">
        <v>1276</v>
      </c>
      <c r="B16" s="381"/>
      <c r="C16" s="381"/>
      <c r="D16" s="285">
        <v>5.5</v>
      </c>
      <c r="E16" s="381" t="s">
        <v>1278</v>
      </c>
      <c r="F16" s="381"/>
      <c r="G16" s="509">
        <f>D16*D17</f>
        <v>77550</v>
      </c>
      <c r="H16" s="615"/>
      <c r="J16" s="27"/>
      <c r="K16" s="801" t="s">
        <v>1287</v>
      </c>
      <c r="L16" s="427"/>
      <c r="M16" s="427"/>
      <c r="N16" s="847"/>
      <c r="T16" s="459"/>
      <c r="U16" s="281" t="s">
        <v>823</v>
      </c>
      <c r="V16" s="185" t="s">
        <v>774</v>
      </c>
      <c r="W16" s="185" t="s">
        <v>774</v>
      </c>
      <c r="X16" s="281" t="s">
        <v>775</v>
      </c>
      <c r="Y16" s="187" t="s">
        <v>750</v>
      </c>
      <c r="Z16" s="187" t="s">
        <v>750</v>
      </c>
      <c r="AA16" s="187" t="s">
        <v>750</v>
      </c>
      <c r="AB16" s="187" t="s">
        <v>750</v>
      </c>
      <c r="AC16" s="187" t="s">
        <v>750</v>
      </c>
      <c r="AD16" s="185" t="s">
        <v>774</v>
      </c>
      <c r="AE16" s="185" t="s">
        <v>774</v>
      </c>
      <c r="AF16" s="193" t="s">
        <v>774</v>
      </c>
    </row>
    <row r="17" spans="1:32" ht="17.25" x14ac:dyDescent="0.25">
      <c r="A17" s="380" t="s">
        <v>1277</v>
      </c>
      <c r="B17" s="381"/>
      <c r="C17" s="381"/>
      <c r="D17" s="285">
        <f>235*60</f>
        <v>14100</v>
      </c>
      <c r="E17" s="381" t="s">
        <v>1279</v>
      </c>
      <c r="F17" s="381"/>
      <c r="G17" s="509">
        <f>G16/Faraday_constant</f>
        <v>0.8037493794391477</v>
      </c>
      <c r="H17" s="615"/>
      <c r="J17" s="27"/>
      <c r="K17" s="801" t="s">
        <v>1288</v>
      </c>
      <c r="L17" s="427"/>
      <c r="M17" s="427"/>
      <c r="N17" s="847"/>
      <c r="T17" s="459"/>
      <c r="U17" s="281" t="s">
        <v>824</v>
      </c>
      <c r="V17" s="185" t="s">
        <v>774</v>
      </c>
      <c r="W17" s="185" t="s">
        <v>774</v>
      </c>
      <c r="X17" s="185" t="s">
        <v>774</v>
      </c>
      <c r="Y17" s="187" t="s">
        <v>750</v>
      </c>
      <c r="Z17" s="187" t="s">
        <v>750</v>
      </c>
      <c r="AA17" s="187" t="s">
        <v>750</v>
      </c>
      <c r="AB17" s="187" t="s">
        <v>750</v>
      </c>
      <c r="AC17" s="187" t="s">
        <v>750</v>
      </c>
      <c r="AD17" s="185" t="s">
        <v>774</v>
      </c>
      <c r="AE17" s="185" t="s">
        <v>774</v>
      </c>
      <c r="AF17" s="193" t="s">
        <v>774</v>
      </c>
    </row>
    <row r="18" spans="1:32" ht="17.25" x14ac:dyDescent="0.25">
      <c r="A18" s="380" t="s">
        <v>1282</v>
      </c>
      <c r="B18" s="381"/>
      <c r="C18" s="381"/>
      <c r="D18" s="285">
        <v>1</v>
      </c>
      <c r="E18" s="381" t="s">
        <v>1280</v>
      </c>
      <c r="F18" s="381"/>
      <c r="G18" s="934">
        <f>G17*(D18/D19)</f>
        <v>0.40187468971957385</v>
      </c>
      <c r="H18" s="936"/>
      <c r="J18" s="27"/>
      <c r="K18" s="801" t="s">
        <v>1289</v>
      </c>
      <c r="L18" s="427"/>
      <c r="M18" s="427"/>
      <c r="N18" s="847"/>
      <c r="T18" s="459"/>
      <c r="U18" s="281" t="s">
        <v>825</v>
      </c>
      <c r="V18" s="185" t="s">
        <v>774</v>
      </c>
      <c r="W18" s="185" t="s">
        <v>774</v>
      </c>
      <c r="X18" s="185" t="s">
        <v>774</v>
      </c>
      <c r="Y18" s="187" t="s">
        <v>750</v>
      </c>
      <c r="Z18" s="187" t="s">
        <v>750</v>
      </c>
      <c r="AA18" s="187" t="s">
        <v>750</v>
      </c>
      <c r="AB18" s="187" t="s">
        <v>750</v>
      </c>
      <c r="AC18" s="187" t="s">
        <v>750</v>
      </c>
      <c r="AD18" s="185" t="s">
        <v>774</v>
      </c>
      <c r="AE18" s="185" t="s">
        <v>774</v>
      </c>
      <c r="AF18" s="193" t="s">
        <v>774</v>
      </c>
    </row>
    <row r="19" spans="1:32" ht="17.25" x14ac:dyDescent="0.25">
      <c r="A19" s="380" t="s">
        <v>1284</v>
      </c>
      <c r="B19" s="381"/>
      <c r="C19" s="381"/>
      <c r="D19" s="285">
        <v>2</v>
      </c>
      <c r="E19" s="381" t="s">
        <v>1281</v>
      </c>
      <c r="F19" s="381"/>
      <c r="G19" s="1019">
        <f>G18*D20</f>
        <v>8.3951622682418972</v>
      </c>
      <c r="H19" s="1020"/>
      <c r="J19" s="27"/>
      <c r="K19" s="801" t="s">
        <v>1290</v>
      </c>
      <c r="L19" s="427"/>
      <c r="M19" s="427"/>
      <c r="N19" s="847"/>
      <c r="T19" s="459"/>
      <c r="U19" s="281" t="s">
        <v>826</v>
      </c>
      <c r="V19" s="185" t="s">
        <v>774</v>
      </c>
      <c r="W19" s="185" t="s">
        <v>774</v>
      </c>
      <c r="X19" s="185" t="s">
        <v>774</v>
      </c>
      <c r="Y19" s="187" t="s">
        <v>750</v>
      </c>
      <c r="Z19" s="187" t="s">
        <v>750</v>
      </c>
      <c r="AA19" s="187" t="s">
        <v>750</v>
      </c>
      <c r="AB19" s="187" t="s">
        <v>750</v>
      </c>
      <c r="AC19" s="185" t="s">
        <v>774</v>
      </c>
      <c r="AD19" s="185" t="s">
        <v>774</v>
      </c>
      <c r="AE19" s="185" t="s">
        <v>774</v>
      </c>
      <c r="AF19" s="193" t="s">
        <v>774</v>
      </c>
    </row>
    <row r="20" spans="1:32" ht="18" thickBot="1" x14ac:dyDescent="0.3">
      <c r="A20" s="384" t="s">
        <v>1283</v>
      </c>
      <c r="B20" s="385"/>
      <c r="C20" s="385"/>
      <c r="D20" s="286">
        <v>20.89</v>
      </c>
      <c r="E20" s="385"/>
      <c r="F20" s="385"/>
      <c r="G20" s="697">
        <f>G19</f>
        <v>8.3951622682418972</v>
      </c>
      <c r="H20" s="698"/>
      <c r="J20" s="27"/>
      <c r="K20" s="801" t="s">
        <v>1291</v>
      </c>
      <c r="L20" s="427"/>
      <c r="M20" s="427"/>
      <c r="N20" s="847"/>
      <c r="T20" s="459"/>
      <c r="U20" s="281" t="s">
        <v>827</v>
      </c>
      <c r="V20" s="185" t="s">
        <v>774</v>
      </c>
      <c r="W20" s="185" t="s">
        <v>774</v>
      </c>
      <c r="X20" s="188" t="s">
        <v>778</v>
      </c>
      <c r="Y20" s="187" t="s">
        <v>750</v>
      </c>
      <c r="Z20" s="187" t="s">
        <v>750</v>
      </c>
      <c r="AA20" s="187" t="s">
        <v>750</v>
      </c>
      <c r="AB20" s="281" t="s">
        <v>775</v>
      </c>
      <c r="AC20" s="281" t="s">
        <v>775</v>
      </c>
      <c r="AD20" s="185" t="s">
        <v>774</v>
      </c>
      <c r="AE20" s="185" t="s">
        <v>774</v>
      </c>
      <c r="AF20" s="282" t="s">
        <v>775</v>
      </c>
    </row>
    <row r="21" spans="1:32" ht="18" thickBot="1" x14ac:dyDescent="0.3">
      <c r="J21" s="27"/>
      <c r="K21" s="796" t="s">
        <v>1292</v>
      </c>
      <c r="L21" s="797"/>
      <c r="M21" s="797"/>
      <c r="N21" s="1018"/>
      <c r="T21" s="459"/>
      <c r="U21" s="281" t="s">
        <v>828</v>
      </c>
      <c r="V21" s="185" t="s">
        <v>774</v>
      </c>
      <c r="W21" s="188" t="s">
        <v>778</v>
      </c>
      <c r="X21" s="187" t="s">
        <v>750</v>
      </c>
      <c r="Y21" s="187" t="s">
        <v>750</v>
      </c>
      <c r="Z21" s="187" t="s">
        <v>750</v>
      </c>
      <c r="AA21" s="187" t="s">
        <v>750</v>
      </c>
      <c r="AB21" s="187" t="s">
        <v>750</v>
      </c>
      <c r="AC21" s="187" t="s">
        <v>750</v>
      </c>
      <c r="AD21" s="186" t="s">
        <v>777</v>
      </c>
      <c r="AE21" s="185" t="s">
        <v>774</v>
      </c>
      <c r="AF21" s="193" t="s">
        <v>774</v>
      </c>
    </row>
    <row r="22" spans="1:32" ht="18" thickBot="1" x14ac:dyDescent="0.3">
      <c r="A22" s="388" t="s">
        <v>1285</v>
      </c>
      <c r="B22" s="389"/>
      <c r="C22" s="389"/>
      <c r="D22" s="389"/>
      <c r="E22" s="389"/>
      <c r="F22" s="389"/>
      <c r="G22" s="389"/>
      <c r="H22" s="390"/>
      <c r="J22" s="27"/>
      <c r="T22" s="459"/>
      <c r="U22" s="281" t="s">
        <v>829</v>
      </c>
      <c r="V22" s="188" t="s">
        <v>778</v>
      </c>
      <c r="W22" s="188" t="s">
        <v>778</v>
      </c>
      <c r="X22" s="187" t="s">
        <v>750</v>
      </c>
      <c r="Y22" s="187" t="s">
        <v>750</v>
      </c>
      <c r="Z22" s="187" t="s">
        <v>750</v>
      </c>
      <c r="AA22" s="187" t="s">
        <v>750</v>
      </c>
      <c r="AB22" s="187" t="s">
        <v>750</v>
      </c>
      <c r="AC22" s="187" t="s">
        <v>750</v>
      </c>
      <c r="AD22" s="187" t="s">
        <v>750</v>
      </c>
      <c r="AE22" s="185" t="s">
        <v>774</v>
      </c>
      <c r="AF22" s="193" t="s">
        <v>774</v>
      </c>
    </row>
    <row r="23" spans="1:32" ht="18" thickBot="1" x14ac:dyDescent="0.3">
      <c r="A23" s="363" t="s">
        <v>1310</v>
      </c>
      <c r="B23" s="364"/>
      <c r="C23" s="364"/>
      <c r="D23" s="364"/>
      <c r="E23" s="364"/>
      <c r="F23" s="364"/>
      <c r="G23" s="364"/>
      <c r="H23" s="365"/>
      <c r="J23" s="27"/>
      <c r="K23" s="456" t="s">
        <v>1045</v>
      </c>
      <c r="L23" s="457"/>
      <c r="M23" s="457"/>
      <c r="N23" s="457"/>
      <c r="O23" s="457"/>
      <c r="P23" s="457"/>
      <c r="Q23" s="457"/>
      <c r="R23" s="458"/>
      <c r="T23" s="478"/>
      <c r="U23" s="279" t="s">
        <v>789</v>
      </c>
      <c r="V23" s="194" t="s">
        <v>750</v>
      </c>
      <c r="W23" s="194" t="s">
        <v>750</v>
      </c>
      <c r="X23" s="194" t="s">
        <v>750</v>
      </c>
      <c r="Y23" s="194" t="s">
        <v>750</v>
      </c>
      <c r="Z23" s="194" t="s">
        <v>750</v>
      </c>
      <c r="AA23" s="279" t="s">
        <v>775</v>
      </c>
      <c r="AB23" s="194" t="s">
        <v>750</v>
      </c>
      <c r="AC23" s="194" t="s">
        <v>750</v>
      </c>
      <c r="AD23" s="195" t="s">
        <v>778</v>
      </c>
      <c r="AE23" s="195" t="s">
        <v>778</v>
      </c>
      <c r="AF23" s="196" t="s">
        <v>774</v>
      </c>
    </row>
    <row r="24" spans="1:32" ht="18" thickBot="1" x14ac:dyDescent="0.3">
      <c r="A24" s="521" t="s">
        <v>35</v>
      </c>
      <c r="B24" s="520"/>
      <c r="C24" s="520"/>
      <c r="D24" s="520" t="s">
        <v>55</v>
      </c>
      <c r="E24" s="520"/>
      <c r="F24" s="294" t="s">
        <v>36</v>
      </c>
      <c r="G24" s="294"/>
      <c r="H24" s="295"/>
      <c r="J24" s="27"/>
      <c r="K24" s="363" t="s">
        <v>1077</v>
      </c>
      <c r="L24" s="364"/>
      <c r="M24" s="364"/>
      <c r="N24" s="364"/>
      <c r="O24" s="364"/>
      <c r="P24" s="364"/>
      <c r="Q24" s="364"/>
      <c r="R24" s="365"/>
      <c r="T24" s="479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1"/>
    </row>
    <row r="25" spans="1:32" ht="17.25" x14ac:dyDescent="0.25">
      <c r="A25" s="1008" t="s">
        <v>1299</v>
      </c>
      <c r="B25" s="1009"/>
      <c r="C25" s="1010"/>
      <c r="D25" s="293">
        <v>25</v>
      </c>
      <c r="E25" s="318">
        <f>CONVERT(D25,"C","K")</f>
        <v>298.14999999999998</v>
      </c>
      <c r="F25" s="1011" t="s">
        <v>1296</v>
      </c>
      <c r="G25" s="1011"/>
      <c r="H25" s="296">
        <f>D27-D28</f>
        <v>2.7744999999999997</v>
      </c>
      <c r="J25" s="27"/>
      <c r="K25" s="459" t="s">
        <v>974</v>
      </c>
      <c r="L25" s="460"/>
      <c r="M25" s="460"/>
      <c r="N25" s="460"/>
      <c r="O25" s="460"/>
      <c r="P25" s="460"/>
      <c r="Q25" s="460" t="s">
        <v>1129</v>
      </c>
      <c r="R25" s="461"/>
      <c r="T25" s="189" t="s">
        <v>774</v>
      </c>
      <c r="U25" s="197" t="s">
        <v>779</v>
      </c>
      <c r="V25" s="482" t="s">
        <v>782</v>
      </c>
      <c r="W25" s="482"/>
      <c r="X25" s="482"/>
      <c r="Y25" s="483"/>
      <c r="Z25" s="484"/>
      <c r="AA25" s="485"/>
      <c r="AB25" s="485"/>
      <c r="AC25" s="485"/>
      <c r="AD25" s="485"/>
      <c r="AE25" s="485"/>
      <c r="AF25" s="486"/>
    </row>
    <row r="26" spans="1:32" ht="17.25" x14ac:dyDescent="0.25">
      <c r="A26" s="1008" t="s">
        <v>974</v>
      </c>
      <c r="B26" s="1012"/>
      <c r="C26" s="1013"/>
      <c r="D26" s="298" t="s">
        <v>1300</v>
      </c>
      <c r="E26" s="298" t="s">
        <v>1301</v>
      </c>
      <c r="F26" s="765" t="s">
        <v>1179</v>
      </c>
      <c r="G26" s="765"/>
      <c r="H26" s="312">
        <f>((D33^E33)*(IF(D34=0,1,D34)^E34))/((D31^E31)*(IF(D32=0,1,D32)^E32))</f>
        <v>0.9285714285714286</v>
      </c>
      <c r="J26" s="27"/>
      <c r="K26" s="462" t="s">
        <v>1315</v>
      </c>
      <c r="L26" s="463"/>
      <c r="M26" s="463"/>
      <c r="N26" s="463"/>
      <c r="O26" s="463"/>
      <c r="P26" s="463"/>
      <c r="Q26" s="442">
        <f>_xlfn.XLOOKUP(K26,K28:K74,Q28:Q74,"--",1,1)</f>
        <v>-0.12620000000000001</v>
      </c>
      <c r="R26" s="443"/>
      <c r="T26" s="190" t="s">
        <v>778</v>
      </c>
      <c r="U26" s="281" t="s">
        <v>779</v>
      </c>
      <c r="V26" s="367" t="s">
        <v>783</v>
      </c>
      <c r="W26" s="367"/>
      <c r="X26" s="367"/>
      <c r="Y26" s="368"/>
      <c r="Z26" s="484"/>
      <c r="AA26" s="485"/>
      <c r="AB26" s="485"/>
      <c r="AC26" s="485"/>
      <c r="AD26" s="485"/>
      <c r="AE26" s="485"/>
      <c r="AF26" s="486"/>
    </row>
    <row r="27" spans="1:32" ht="18" thickBot="1" x14ac:dyDescent="0.3">
      <c r="A27" s="1016" t="s">
        <v>1294</v>
      </c>
      <c r="B27" s="1017"/>
      <c r="C27" s="1017"/>
      <c r="D27" s="217">
        <v>-0.13750000000000001</v>
      </c>
      <c r="E27" s="307">
        <v>2</v>
      </c>
      <c r="F27" s="543"/>
      <c r="G27" s="544"/>
      <c r="H27" s="618"/>
      <c r="J27" s="27"/>
      <c r="K27" s="464" t="str">
        <f>_xlfn.XLOOKUP(Q27,Q28:Q74,K28:K74,"--",1,1)</f>
        <v>Pb2+ (aq) + 2e- --&gt; Pb (s)</v>
      </c>
      <c r="L27" s="465"/>
      <c r="M27" s="465"/>
      <c r="N27" s="465"/>
      <c r="O27" s="465"/>
      <c r="P27" s="465"/>
      <c r="Q27" s="466">
        <v>-0.12620000000000001</v>
      </c>
      <c r="R27" s="467"/>
      <c r="T27" s="191" t="s">
        <v>750</v>
      </c>
      <c r="U27" s="281" t="s">
        <v>779</v>
      </c>
      <c r="V27" s="367" t="s">
        <v>784</v>
      </c>
      <c r="W27" s="367"/>
      <c r="X27" s="367"/>
      <c r="Y27" s="368"/>
      <c r="Z27" s="484"/>
      <c r="AA27" s="485"/>
      <c r="AB27" s="485"/>
      <c r="AC27" s="485"/>
      <c r="AD27" s="485"/>
      <c r="AE27" s="485"/>
      <c r="AF27" s="486"/>
    </row>
    <row r="28" spans="1:32" ht="18" x14ac:dyDescent="0.25">
      <c r="A28" s="1016" t="s">
        <v>1295</v>
      </c>
      <c r="B28" s="1017"/>
      <c r="C28" s="1017"/>
      <c r="D28" s="217">
        <v>-2.9119999999999999</v>
      </c>
      <c r="E28" s="307">
        <v>2</v>
      </c>
      <c r="F28" s="619"/>
      <c r="G28" s="485"/>
      <c r="H28" s="486"/>
      <c r="J28" s="27"/>
      <c r="K28" s="378" t="s">
        <v>1082</v>
      </c>
      <c r="L28" s="379"/>
      <c r="M28" s="379"/>
      <c r="N28" s="379"/>
      <c r="O28" s="379"/>
      <c r="P28" s="379"/>
      <c r="Q28" s="379">
        <v>2.8660000000000001</v>
      </c>
      <c r="R28" s="468"/>
      <c r="T28" s="280" t="s">
        <v>775</v>
      </c>
      <c r="U28" s="281" t="s">
        <v>779</v>
      </c>
      <c r="V28" s="367" t="s">
        <v>780</v>
      </c>
      <c r="W28" s="367"/>
      <c r="X28" s="367"/>
      <c r="Y28" s="368"/>
      <c r="Z28" s="484"/>
      <c r="AA28" s="485"/>
      <c r="AB28" s="485"/>
      <c r="AC28" s="485"/>
      <c r="AD28" s="485"/>
      <c r="AE28" s="485"/>
      <c r="AF28" s="486"/>
    </row>
    <row r="29" spans="1:32" ht="18" thickBot="1" x14ac:dyDescent="0.3">
      <c r="A29" s="787" t="s">
        <v>1297</v>
      </c>
      <c r="B29" s="765"/>
      <c r="C29" s="765"/>
      <c r="D29" s="509">
        <f>LCM(E27:E28)</f>
        <v>2</v>
      </c>
      <c r="E29" s="509"/>
      <c r="F29" s="619"/>
      <c r="G29" s="485"/>
      <c r="H29" s="486"/>
      <c r="J29" s="27"/>
      <c r="K29" s="380" t="s">
        <v>1083</v>
      </c>
      <c r="L29" s="381"/>
      <c r="M29" s="381"/>
      <c r="N29" s="381"/>
      <c r="O29" s="381"/>
      <c r="P29" s="381"/>
      <c r="Q29" s="381">
        <v>1.92</v>
      </c>
      <c r="R29" s="490"/>
      <c r="T29" s="192" t="s">
        <v>777</v>
      </c>
      <c r="U29" s="279" t="s">
        <v>779</v>
      </c>
      <c r="V29" s="358" t="s">
        <v>781</v>
      </c>
      <c r="W29" s="358"/>
      <c r="X29" s="358"/>
      <c r="Y29" s="359"/>
      <c r="Z29" s="487"/>
      <c r="AA29" s="488"/>
      <c r="AB29" s="488"/>
      <c r="AC29" s="488"/>
      <c r="AD29" s="488"/>
      <c r="AE29" s="488"/>
      <c r="AF29" s="489"/>
    </row>
    <row r="30" spans="1:32" ht="18" x14ac:dyDescent="0.25">
      <c r="A30" s="380" t="s">
        <v>1298</v>
      </c>
      <c r="B30" s="381"/>
      <c r="C30" s="381"/>
      <c r="D30" s="306" t="s">
        <v>538</v>
      </c>
      <c r="E30" s="306" t="s">
        <v>150</v>
      </c>
      <c r="F30" s="619"/>
      <c r="G30" s="485"/>
      <c r="H30" s="486"/>
      <c r="K30" s="380" t="s">
        <v>1084</v>
      </c>
      <c r="L30" s="381"/>
      <c r="M30" s="381"/>
      <c r="N30" s="381"/>
      <c r="O30" s="381"/>
      <c r="P30" s="381"/>
      <c r="Q30" s="381">
        <v>1.776</v>
      </c>
      <c r="R30" s="490"/>
    </row>
    <row r="31" spans="1:32" ht="17.25" x14ac:dyDescent="0.25">
      <c r="A31" s="380" t="s">
        <v>1302</v>
      </c>
      <c r="B31" s="381"/>
      <c r="C31" s="381"/>
      <c r="D31" s="316">
        <v>7.84</v>
      </c>
      <c r="E31" s="316">
        <v>1</v>
      </c>
      <c r="F31" s="619"/>
      <c r="G31" s="485"/>
      <c r="H31" s="486"/>
      <c r="K31" s="380" t="s">
        <v>1085</v>
      </c>
      <c r="L31" s="381"/>
      <c r="M31" s="381"/>
      <c r="N31" s="381"/>
      <c r="O31" s="381"/>
      <c r="P31" s="381"/>
      <c r="Q31" s="381">
        <v>1.6919999999999999</v>
      </c>
      <c r="R31" s="490"/>
    </row>
    <row r="32" spans="1:32" ht="18" x14ac:dyDescent="0.25">
      <c r="A32" s="380" t="s">
        <v>1303</v>
      </c>
      <c r="B32" s="381"/>
      <c r="C32" s="381"/>
      <c r="D32" s="297">
        <v>0</v>
      </c>
      <c r="E32" s="297">
        <v>0</v>
      </c>
      <c r="F32" s="546"/>
      <c r="G32" s="547"/>
      <c r="H32" s="620"/>
      <c r="K32" s="380" t="s">
        <v>1086</v>
      </c>
      <c r="L32" s="381"/>
      <c r="M32" s="381"/>
      <c r="N32" s="381"/>
      <c r="O32" s="381"/>
      <c r="P32" s="381"/>
      <c r="Q32" s="381">
        <v>1.5069999999999999</v>
      </c>
      <c r="R32" s="490"/>
    </row>
    <row r="33" spans="1:18" ht="17.25" x14ac:dyDescent="0.25">
      <c r="A33" s="380" t="s">
        <v>1307</v>
      </c>
      <c r="B33" s="381"/>
      <c r="C33" s="381"/>
      <c r="D33" s="316">
        <v>7.28</v>
      </c>
      <c r="E33" s="316">
        <v>1</v>
      </c>
      <c r="F33" s="427" t="s">
        <v>1200</v>
      </c>
      <c r="G33" s="311">
        <f>H25-((Universal_Gas_R_for_Pa_and_m3*E25)/(D29*Faraday_constant))*LN(H26)</f>
        <v>2.7754520170662413</v>
      </c>
      <c r="H33" s="308" t="s">
        <v>214</v>
      </c>
      <c r="K33" s="380" t="s">
        <v>1087</v>
      </c>
      <c r="L33" s="381"/>
      <c r="M33" s="381"/>
      <c r="N33" s="381"/>
      <c r="O33" s="381"/>
      <c r="P33" s="381"/>
      <c r="Q33" s="381">
        <v>1.498</v>
      </c>
      <c r="R33" s="490"/>
    </row>
    <row r="34" spans="1:18" ht="18.75" thickBot="1" x14ac:dyDescent="0.3">
      <c r="A34" s="1014" t="s">
        <v>1308</v>
      </c>
      <c r="B34" s="1015"/>
      <c r="C34" s="1015"/>
      <c r="D34" s="320">
        <v>0</v>
      </c>
      <c r="E34" s="320">
        <v>0</v>
      </c>
      <c r="F34" s="797"/>
      <c r="G34" s="319">
        <f>G33</f>
        <v>2.7754520170662413</v>
      </c>
      <c r="H34" s="309" t="s">
        <v>214</v>
      </c>
      <c r="K34" s="380" t="s">
        <v>1088</v>
      </c>
      <c r="L34" s="381"/>
      <c r="M34" s="381"/>
      <c r="N34" s="381"/>
      <c r="O34" s="381"/>
      <c r="P34" s="381"/>
      <c r="Q34" s="381">
        <v>1.3582700000000001</v>
      </c>
      <c r="R34" s="490"/>
    </row>
    <row r="35" spans="1:18" ht="18" x14ac:dyDescent="0.25">
      <c r="K35" s="380" t="s">
        <v>1089</v>
      </c>
      <c r="L35" s="381"/>
      <c r="M35" s="381"/>
      <c r="N35" s="381"/>
      <c r="O35" s="381"/>
      <c r="P35" s="381"/>
      <c r="Q35" s="381">
        <v>1.2290000000000001</v>
      </c>
      <c r="R35" s="490"/>
    </row>
    <row r="36" spans="1:18" ht="18" x14ac:dyDescent="0.25">
      <c r="C36" t="s">
        <v>1309</v>
      </c>
      <c r="K36" s="380" t="s">
        <v>1090</v>
      </c>
      <c r="L36" s="381"/>
      <c r="M36" s="381"/>
      <c r="N36" s="381"/>
      <c r="O36" s="381"/>
      <c r="P36" s="381"/>
      <c r="Q36" s="381">
        <v>1.224</v>
      </c>
      <c r="R36" s="490"/>
    </row>
    <row r="37" spans="1:18" ht="18" x14ac:dyDescent="0.25">
      <c r="G37" s="27"/>
      <c r="K37" s="380" t="s">
        <v>1091</v>
      </c>
      <c r="L37" s="381"/>
      <c r="M37" s="381"/>
      <c r="N37" s="381"/>
      <c r="O37" s="381"/>
      <c r="P37" s="381"/>
      <c r="Q37" s="381">
        <v>1.1950000000000001</v>
      </c>
      <c r="R37" s="490"/>
    </row>
    <row r="38" spans="1:18" ht="18" x14ac:dyDescent="0.25">
      <c r="K38" s="380" t="s">
        <v>1092</v>
      </c>
      <c r="L38" s="381"/>
      <c r="M38" s="381"/>
      <c r="N38" s="381"/>
      <c r="O38" s="381"/>
      <c r="P38" s="381"/>
      <c r="Q38" s="381">
        <v>1.0660000000000001</v>
      </c>
      <c r="R38" s="490"/>
    </row>
    <row r="39" spans="1:18" ht="18" x14ac:dyDescent="0.25">
      <c r="K39" s="380" t="s">
        <v>1093</v>
      </c>
      <c r="L39" s="381"/>
      <c r="M39" s="381"/>
      <c r="N39" s="381"/>
      <c r="O39" s="381"/>
      <c r="P39" s="381"/>
      <c r="Q39" s="381">
        <v>0.99099999999999999</v>
      </c>
      <c r="R39" s="490"/>
    </row>
    <row r="40" spans="1:18" ht="18" x14ac:dyDescent="0.25">
      <c r="K40" s="380" t="s">
        <v>1094</v>
      </c>
      <c r="L40" s="381"/>
      <c r="M40" s="381"/>
      <c r="N40" s="381"/>
      <c r="O40" s="381"/>
      <c r="P40" s="381"/>
      <c r="Q40" s="381">
        <v>0.98299999999999998</v>
      </c>
      <c r="R40" s="490"/>
    </row>
    <row r="41" spans="1:18" ht="18" x14ac:dyDescent="0.25">
      <c r="K41" s="380" t="s">
        <v>1095</v>
      </c>
      <c r="L41" s="381"/>
      <c r="M41" s="381"/>
      <c r="N41" s="381"/>
      <c r="O41" s="381"/>
      <c r="P41" s="381"/>
      <c r="Q41" s="381">
        <v>0.95699999999999996</v>
      </c>
      <c r="R41" s="490"/>
    </row>
    <row r="42" spans="1:18" ht="17.25" x14ac:dyDescent="0.25">
      <c r="K42" s="380" t="s">
        <v>1096</v>
      </c>
      <c r="L42" s="381"/>
      <c r="M42" s="381"/>
      <c r="N42" s="381"/>
      <c r="O42" s="381"/>
      <c r="P42" s="381"/>
      <c r="Q42" s="381">
        <v>0.79959999999999998</v>
      </c>
      <c r="R42" s="490"/>
    </row>
    <row r="43" spans="1:18" ht="17.25" x14ac:dyDescent="0.25">
      <c r="K43" s="380" t="s">
        <v>1097</v>
      </c>
      <c r="L43" s="381"/>
      <c r="M43" s="381"/>
      <c r="N43" s="381"/>
      <c r="O43" s="381"/>
      <c r="P43" s="381"/>
      <c r="Q43" s="381">
        <v>0.77100000000000002</v>
      </c>
      <c r="R43" s="490"/>
    </row>
    <row r="44" spans="1:18" ht="18" x14ac:dyDescent="0.25">
      <c r="K44" s="380" t="s">
        <v>1098</v>
      </c>
      <c r="L44" s="381"/>
      <c r="M44" s="381"/>
      <c r="N44" s="381"/>
      <c r="O44" s="381"/>
      <c r="P44" s="381"/>
      <c r="Q44" s="381">
        <v>0.69499999999999995</v>
      </c>
      <c r="R44" s="490"/>
    </row>
    <row r="45" spans="1:18" ht="18" x14ac:dyDescent="0.25">
      <c r="K45" s="380" t="s">
        <v>1099</v>
      </c>
      <c r="L45" s="381"/>
      <c r="M45" s="381"/>
      <c r="N45" s="381"/>
      <c r="O45" s="381"/>
      <c r="P45" s="381"/>
      <c r="Q45" s="381">
        <v>0.59499999999999997</v>
      </c>
      <c r="R45" s="490"/>
    </row>
    <row r="46" spans="1:18" ht="18" x14ac:dyDescent="0.25">
      <c r="K46" s="380" t="s">
        <v>1100</v>
      </c>
      <c r="L46" s="381"/>
      <c r="M46" s="381"/>
      <c r="N46" s="381"/>
      <c r="O46" s="381"/>
      <c r="P46" s="381"/>
      <c r="Q46" s="381">
        <v>0.53549999999999998</v>
      </c>
      <c r="R46" s="490"/>
    </row>
    <row r="47" spans="1:18" ht="17.25" x14ac:dyDescent="0.25">
      <c r="K47" s="380" t="s">
        <v>1101</v>
      </c>
      <c r="L47" s="381"/>
      <c r="M47" s="381"/>
      <c r="N47" s="381"/>
      <c r="O47" s="381"/>
      <c r="P47" s="381"/>
      <c r="Q47" s="381">
        <v>0.52100000000000002</v>
      </c>
      <c r="R47" s="490"/>
    </row>
    <row r="48" spans="1:18" ht="18" x14ac:dyDescent="0.25">
      <c r="K48" s="380" t="s">
        <v>1102</v>
      </c>
      <c r="L48" s="381"/>
      <c r="M48" s="381"/>
      <c r="N48" s="381"/>
      <c r="O48" s="381"/>
      <c r="P48" s="381"/>
      <c r="Q48" s="381">
        <v>0.40100000000000002</v>
      </c>
      <c r="R48" s="490"/>
    </row>
    <row r="49" spans="11:18" ht="17.25" x14ac:dyDescent="0.25">
      <c r="K49" s="380" t="s">
        <v>1103</v>
      </c>
      <c r="L49" s="381"/>
      <c r="M49" s="381"/>
      <c r="N49" s="381"/>
      <c r="O49" s="381"/>
      <c r="P49" s="381"/>
      <c r="Q49" s="381">
        <v>0.34189999999999998</v>
      </c>
      <c r="R49" s="490"/>
    </row>
    <row r="50" spans="11:18" ht="18" x14ac:dyDescent="0.25">
      <c r="K50" s="380" t="s">
        <v>1104</v>
      </c>
      <c r="L50" s="381"/>
      <c r="M50" s="381"/>
      <c r="N50" s="381"/>
      <c r="O50" s="381"/>
      <c r="P50" s="381"/>
      <c r="Q50" s="381">
        <v>0.17199999999999999</v>
      </c>
      <c r="R50" s="490"/>
    </row>
    <row r="51" spans="11:18" ht="17.25" x14ac:dyDescent="0.25">
      <c r="K51" s="380" t="s">
        <v>1105</v>
      </c>
      <c r="L51" s="381"/>
      <c r="M51" s="381"/>
      <c r="N51" s="381"/>
      <c r="O51" s="381"/>
      <c r="P51" s="381"/>
      <c r="Q51" s="381">
        <v>0.153</v>
      </c>
      <c r="R51" s="490"/>
    </row>
    <row r="52" spans="11:18" ht="17.25" x14ac:dyDescent="0.25">
      <c r="K52" s="380" t="s">
        <v>1106</v>
      </c>
      <c r="L52" s="381"/>
      <c r="M52" s="381"/>
      <c r="N52" s="381"/>
      <c r="O52" s="381"/>
      <c r="P52" s="381"/>
      <c r="Q52" s="381">
        <v>0.151</v>
      </c>
      <c r="R52" s="490"/>
    </row>
    <row r="53" spans="11:18" ht="18" x14ac:dyDescent="0.25">
      <c r="K53" s="380" t="s">
        <v>1107</v>
      </c>
      <c r="L53" s="381"/>
      <c r="M53" s="381"/>
      <c r="N53" s="381"/>
      <c r="O53" s="381"/>
      <c r="P53" s="381"/>
      <c r="Q53" s="381">
        <v>0</v>
      </c>
      <c r="R53" s="490"/>
    </row>
    <row r="54" spans="11:18" ht="17.25" x14ac:dyDescent="0.25">
      <c r="K54" s="380" t="s">
        <v>1108</v>
      </c>
      <c r="L54" s="381"/>
      <c r="M54" s="381"/>
      <c r="N54" s="381"/>
      <c r="O54" s="381"/>
      <c r="P54" s="381"/>
      <c r="Q54" s="381">
        <v>-3.6999999999999998E-2</v>
      </c>
      <c r="R54" s="490"/>
    </row>
    <row r="55" spans="11:18" ht="17.25" x14ac:dyDescent="0.25">
      <c r="K55" s="380" t="s">
        <v>1109</v>
      </c>
      <c r="L55" s="381"/>
      <c r="M55" s="381"/>
      <c r="N55" s="381"/>
      <c r="O55" s="381"/>
      <c r="P55" s="381"/>
      <c r="Q55" s="381">
        <v>-0.12620000000000001</v>
      </c>
      <c r="R55" s="490"/>
    </row>
    <row r="56" spans="11:18" ht="18" x14ac:dyDescent="0.25">
      <c r="K56" s="380" t="s">
        <v>1110</v>
      </c>
      <c r="L56" s="381"/>
      <c r="M56" s="381"/>
      <c r="N56" s="381"/>
      <c r="O56" s="381"/>
      <c r="P56" s="381"/>
      <c r="Q56" s="381">
        <v>-0.13</v>
      </c>
      <c r="R56" s="490"/>
    </row>
    <row r="57" spans="11:18" ht="17.25" x14ac:dyDescent="0.25">
      <c r="K57" s="380" t="s">
        <v>1111</v>
      </c>
      <c r="L57" s="381"/>
      <c r="M57" s="381"/>
      <c r="N57" s="381"/>
      <c r="O57" s="381"/>
      <c r="P57" s="381"/>
      <c r="Q57" s="381">
        <v>-0.13750000000000001</v>
      </c>
      <c r="R57" s="490"/>
    </row>
    <row r="58" spans="11:18" ht="17.25" x14ac:dyDescent="0.25">
      <c r="K58" s="380" t="s">
        <v>1112</v>
      </c>
      <c r="L58" s="381"/>
      <c r="M58" s="381"/>
      <c r="N58" s="381"/>
      <c r="O58" s="381"/>
      <c r="P58" s="381"/>
      <c r="Q58" s="381">
        <v>-0.25700000000000001</v>
      </c>
      <c r="R58" s="490"/>
    </row>
    <row r="59" spans="11:18" ht="17.25" x14ac:dyDescent="0.25">
      <c r="K59" s="380" t="s">
        <v>1113</v>
      </c>
      <c r="L59" s="381"/>
      <c r="M59" s="381"/>
      <c r="N59" s="381"/>
      <c r="O59" s="381"/>
      <c r="P59" s="381"/>
      <c r="Q59" s="381">
        <v>-0.28000000000000003</v>
      </c>
      <c r="R59" s="490"/>
    </row>
    <row r="60" spans="11:18" ht="18" x14ac:dyDescent="0.25">
      <c r="K60" s="380" t="s">
        <v>1114</v>
      </c>
      <c r="L60" s="381"/>
      <c r="M60" s="381"/>
      <c r="N60" s="381"/>
      <c r="O60" s="381"/>
      <c r="P60" s="381"/>
      <c r="Q60" s="381">
        <v>-0.35880000000000001</v>
      </c>
      <c r="R60" s="490"/>
    </row>
    <row r="61" spans="11:18" ht="17.25" x14ac:dyDescent="0.25">
      <c r="K61" s="380" t="s">
        <v>1115</v>
      </c>
      <c r="L61" s="381"/>
      <c r="M61" s="381"/>
      <c r="N61" s="381"/>
      <c r="O61" s="381"/>
      <c r="P61" s="381"/>
      <c r="Q61" s="381">
        <v>-0.40699999999999997</v>
      </c>
      <c r="R61" s="490"/>
    </row>
    <row r="62" spans="11:18" ht="17.25" x14ac:dyDescent="0.25">
      <c r="K62" s="380" t="s">
        <v>1116</v>
      </c>
      <c r="L62" s="381"/>
      <c r="M62" s="381"/>
      <c r="N62" s="381"/>
      <c r="O62" s="381"/>
      <c r="P62" s="381"/>
      <c r="Q62" s="381">
        <v>-0.44700000000000001</v>
      </c>
      <c r="R62" s="490"/>
    </row>
    <row r="63" spans="11:18" ht="17.25" x14ac:dyDescent="0.25">
      <c r="K63" s="380" t="s">
        <v>1117</v>
      </c>
      <c r="L63" s="381"/>
      <c r="M63" s="381"/>
      <c r="N63" s="381"/>
      <c r="O63" s="381"/>
      <c r="P63" s="381"/>
      <c r="Q63" s="381">
        <v>-0.74399999999999999</v>
      </c>
      <c r="R63" s="490"/>
    </row>
    <row r="64" spans="11:18" ht="17.25" x14ac:dyDescent="0.25">
      <c r="K64" s="380" t="s">
        <v>1118</v>
      </c>
      <c r="L64" s="381"/>
      <c r="M64" s="381"/>
      <c r="N64" s="381"/>
      <c r="O64" s="381"/>
      <c r="P64" s="381"/>
      <c r="Q64" s="381">
        <v>-0.76180000000000003</v>
      </c>
      <c r="R64" s="490"/>
    </row>
    <row r="65" spans="11:18" ht="18" x14ac:dyDescent="0.25">
      <c r="K65" s="380" t="s">
        <v>1119</v>
      </c>
      <c r="L65" s="381"/>
      <c r="M65" s="381"/>
      <c r="N65" s="381"/>
      <c r="O65" s="381"/>
      <c r="P65" s="381"/>
      <c r="Q65" s="381">
        <v>-0.82769999999999999</v>
      </c>
      <c r="R65" s="490"/>
    </row>
    <row r="66" spans="11:18" ht="17.25" x14ac:dyDescent="0.25">
      <c r="K66" s="380" t="s">
        <v>1120</v>
      </c>
      <c r="L66" s="381"/>
      <c r="M66" s="381"/>
      <c r="N66" s="381"/>
      <c r="O66" s="381"/>
      <c r="P66" s="381"/>
      <c r="Q66" s="381">
        <v>-0.91300000000000003</v>
      </c>
      <c r="R66" s="490"/>
    </row>
    <row r="67" spans="11:18" ht="18" x14ac:dyDescent="0.25">
      <c r="K67" s="380" t="s">
        <v>1121</v>
      </c>
      <c r="L67" s="381"/>
      <c r="M67" s="381"/>
      <c r="N67" s="381"/>
      <c r="O67" s="381"/>
      <c r="P67" s="381"/>
      <c r="Q67" s="381">
        <v>-1.1599999999999999</v>
      </c>
      <c r="R67" s="490"/>
    </row>
    <row r="68" spans="11:18" ht="17.25" x14ac:dyDescent="0.25">
      <c r="K68" s="380" t="s">
        <v>1122</v>
      </c>
      <c r="L68" s="381"/>
      <c r="M68" s="381"/>
      <c r="N68" s="381"/>
      <c r="O68" s="381"/>
      <c r="P68" s="381"/>
      <c r="Q68" s="381">
        <v>-1.1850000000000001</v>
      </c>
      <c r="R68" s="490"/>
    </row>
    <row r="69" spans="11:18" ht="17.25" x14ac:dyDescent="0.25">
      <c r="K69" s="380" t="s">
        <v>1123</v>
      </c>
      <c r="L69" s="381"/>
      <c r="M69" s="381"/>
      <c r="N69" s="381"/>
      <c r="O69" s="381"/>
      <c r="P69" s="381"/>
      <c r="Q69" s="381">
        <v>-1.6759999999999999</v>
      </c>
      <c r="R69" s="490"/>
    </row>
    <row r="70" spans="11:18" ht="17.25" x14ac:dyDescent="0.25">
      <c r="K70" s="380" t="s">
        <v>1124</v>
      </c>
      <c r="L70" s="381"/>
      <c r="M70" s="381"/>
      <c r="N70" s="381"/>
      <c r="O70" s="381"/>
      <c r="P70" s="381"/>
      <c r="Q70" s="381">
        <v>-2.077</v>
      </c>
      <c r="R70" s="490"/>
    </row>
    <row r="71" spans="11:18" ht="17.25" x14ac:dyDescent="0.25">
      <c r="K71" s="380" t="s">
        <v>1125</v>
      </c>
      <c r="L71" s="381"/>
      <c r="M71" s="381"/>
      <c r="N71" s="381"/>
      <c r="O71" s="381"/>
      <c r="P71" s="381"/>
      <c r="Q71" s="381">
        <v>-2.3719999999999999</v>
      </c>
      <c r="R71" s="490"/>
    </row>
    <row r="72" spans="11:18" ht="17.25" x14ac:dyDescent="0.25">
      <c r="K72" s="380" t="s">
        <v>1126</v>
      </c>
      <c r="L72" s="381"/>
      <c r="M72" s="381"/>
      <c r="N72" s="381"/>
      <c r="O72" s="381"/>
      <c r="P72" s="381"/>
      <c r="Q72" s="381">
        <v>-2.71</v>
      </c>
      <c r="R72" s="490"/>
    </row>
    <row r="73" spans="11:18" ht="17.25" x14ac:dyDescent="0.25">
      <c r="K73" s="380" t="s">
        <v>1127</v>
      </c>
      <c r="L73" s="381"/>
      <c r="M73" s="381"/>
      <c r="N73" s="381"/>
      <c r="O73" s="381"/>
      <c r="P73" s="381"/>
      <c r="Q73" s="381">
        <v>-2.8679999999999999</v>
      </c>
      <c r="R73" s="490"/>
    </row>
    <row r="74" spans="11:18" ht="18" thickBot="1" x14ac:dyDescent="0.3">
      <c r="K74" s="384" t="s">
        <v>1128</v>
      </c>
      <c r="L74" s="385"/>
      <c r="M74" s="385"/>
      <c r="N74" s="385"/>
      <c r="O74" s="385"/>
      <c r="P74" s="385"/>
      <c r="Q74" s="385">
        <v>-2.9119999999999999</v>
      </c>
      <c r="R74" s="494"/>
    </row>
  </sheetData>
  <mergeCells count="182">
    <mergeCell ref="K10:M10"/>
    <mergeCell ref="K9:L9"/>
    <mergeCell ref="E10:F10"/>
    <mergeCell ref="E11:F11"/>
    <mergeCell ref="E9:G9"/>
    <mergeCell ref="E7:G7"/>
    <mergeCell ref="A10:C10"/>
    <mergeCell ref="A11:C11"/>
    <mergeCell ref="A1:E1"/>
    <mergeCell ref="A2:E2"/>
    <mergeCell ref="A3:E3"/>
    <mergeCell ref="K7:L7"/>
    <mergeCell ref="K8:L8"/>
    <mergeCell ref="K6:M6"/>
    <mergeCell ref="A8:C8"/>
    <mergeCell ref="K3:M3"/>
    <mergeCell ref="A7:C7"/>
    <mergeCell ref="A5:G5"/>
    <mergeCell ref="A6:G6"/>
    <mergeCell ref="F8:G8"/>
    <mergeCell ref="T3:AF3"/>
    <mergeCell ref="T4:U6"/>
    <mergeCell ref="V4:AF4"/>
    <mergeCell ref="T7:T23"/>
    <mergeCell ref="G16:H16"/>
    <mergeCell ref="G17:H17"/>
    <mergeCell ref="E15:H15"/>
    <mergeCell ref="E16:F16"/>
    <mergeCell ref="E17:F17"/>
    <mergeCell ref="K11:M11"/>
    <mergeCell ref="L12:M12"/>
    <mergeCell ref="K14:N14"/>
    <mergeCell ref="K15:N15"/>
    <mergeCell ref="K16:N16"/>
    <mergeCell ref="G20:H20"/>
    <mergeCell ref="E19:F20"/>
    <mergeCell ref="A14:H14"/>
    <mergeCell ref="E18:F18"/>
    <mergeCell ref="G18:H18"/>
    <mergeCell ref="A15:C15"/>
    <mergeCell ref="A16:C16"/>
    <mergeCell ref="A9:C9"/>
    <mergeCell ref="A12:D12"/>
    <mergeCell ref="F12:G12"/>
    <mergeCell ref="A17:C17"/>
    <mergeCell ref="A18:C18"/>
    <mergeCell ref="A19:C19"/>
    <mergeCell ref="T24:AF24"/>
    <mergeCell ref="V25:Y25"/>
    <mergeCell ref="Z25:AF29"/>
    <mergeCell ref="V26:Y26"/>
    <mergeCell ref="V27:Y27"/>
    <mergeCell ref="V28:Y28"/>
    <mergeCell ref="V29:Y29"/>
    <mergeCell ref="K23:R23"/>
    <mergeCell ref="K24:R24"/>
    <mergeCell ref="K25:P25"/>
    <mergeCell ref="Q25:R25"/>
    <mergeCell ref="K26:P26"/>
    <mergeCell ref="Q26:R26"/>
    <mergeCell ref="A22:H22"/>
    <mergeCell ref="K17:N17"/>
    <mergeCell ref="K18:N18"/>
    <mergeCell ref="K19:N19"/>
    <mergeCell ref="K20:N20"/>
    <mergeCell ref="K21:N21"/>
    <mergeCell ref="A20:C20"/>
    <mergeCell ref="G19:H19"/>
    <mergeCell ref="K30:P30"/>
    <mergeCell ref="Q30:R30"/>
    <mergeCell ref="K31:P31"/>
    <mergeCell ref="Q31:R31"/>
    <mergeCell ref="K32:P32"/>
    <mergeCell ref="Q32:R32"/>
    <mergeCell ref="K27:P27"/>
    <mergeCell ref="Q27:R27"/>
    <mergeCell ref="K28:P28"/>
    <mergeCell ref="Q28:R28"/>
    <mergeCell ref="K29:P29"/>
    <mergeCell ref="Q29:R29"/>
    <mergeCell ref="K36:P36"/>
    <mergeCell ref="Q36:R36"/>
    <mergeCell ref="K37:P37"/>
    <mergeCell ref="Q37:R37"/>
    <mergeCell ref="K38:P38"/>
    <mergeCell ref="Q38:R38"/>
    <mergeCell ref="K33:P33"/>
    <mergeCell ref="Q33:R33"/>
    <mergeCell ref="K34:P34"/>
    <mergeCell ref="Q34:R34"/>
    <mergeCell ref="K35:P35"/>
    <mergeCell ref="Q35:R35"/>
    <mergeCell ref="K42:P42"/>
    <mergeCell ref="Q42:R42"/>
    <mergeCell ref="K43:P43"/>
    <mergeCell ref="Q43:R43"/>
    <mergeCell ref="K44:P44"/>
    <mergeCell ref="Q44:R44"/>
    <mergeCell ref="K39:P39"/>
    <mergeCell ref="Q39:R39"/>
    <mergeCell ref="K40:P40"/>
    <mergeCell ref="Q40:R40"/>
    <mergeCell ref="K41:P41"/>
    <mergeCell ref="Q41:R41"/>
    <mergeCell ref="K48:P48"/>
    <mergeCell ref="Q48:R48"/>
    <mergeCell ref="K49:P49"/>
    <mergeCell ref="Q49:R49"/>
    <mergeCell ref="K50:P50"/>
    <mergeCell ref="Q50:R50"/>
    <mergeCell ref="K45:P45"/>
    <mergeCell ref="Q45:R45"/>
    <mergeCell ref="K46:P46"/>
    <mergeCell ref="Q46:R46"/>
    <mergeCell ref="K47:P47"/>
    <mergeCell ref="Q47:R47"/>
    <mergeCell ref="Q54:R54"/>
    <mergeCell ref="K55:P55"/>
    <mergeCell ref="Q55:R55"/>
    <mergeCell ref="K56:P56"/>
    <mergeCell ref="Q56:R56"/>
    <mergeCell ref="K51:P51"/>
    <mergeCell ref="Q51:R51"/>
    <mergeCell ref="K52:P52"/>
    <mergeCell ref="Q52:R52"/>
    <mergeCell ref="K53:P53"/>
    <mergeCell ref="Q53:R53"/>
    <mergeCell ref="K60:P60"/>
    <mergeCell ref="Q60:R60"/>
    <mergeCell ref="K61:P61"/>
    <mergeCell ref="A31:C31"/>
    <mergeCell ref="K73:P73"/>
    <mergeCell ref="Q73:R73"/>
    <mergeCell ref="K74:P74"/>
    <mergeCell ref="Q74:R74"/>
    <mergeCell ref="K69:P69"/>
    <mergeCell ref="Q69:R69"/>
    <mergeCell ref="K70:P70"/>
    <mergeCell ref="Q70:R70"/>
    <mergeCell ref="K71:P71"/>
    <mergeCell ref="Q71:R71"/>
    <mergeCell ref="Q61:R61"/>
    <mergeCell ref="K62:P62"/>
    <mergeCell ref="Q62:R62"/>
    <mergeCell ref="K57:P57"/>
    <mergeCell ref="Q57:R57"/>
    <mergeCell ref="K58:P58"/>
    <mergeCell ref="Q58:R58"/>
    <mergeCell ref="K59:P59"/>
    <mergeCell ref="Q59:R59"/>
    <mergeCell ref="K54:P54"/>
    <mergeCell ref="K72:P72"/>
    <mergeCell ref="Q72:R72"/>
    <mergeCell ref="K66:P66"/>
    <mergeCell ref="Q66:R66"/>
    <mergeCell ref="K67:P67"/>
    <mergeCell ref="Q67:R67"/>
    <mergeCell ref="K68:P68"/>
    <mergeCell ref="Q68:R68"/>
    <mergeCell ref="K63:P63"/>
    <mergeCell ref="Q63:R63"/>
    <mergeCell ref="K64:P64"/>
    <mergeCell ref="Q64:R64"/>
    <mergeCell ref="K65:P65"/>
    <mergeCell ref="Q65:R65"/>
    <mergeCell ref="A23:H23"/>
    <mergeCell ref="A25:C25"/>
    <mergeCell ref="F33:F34"/>
    <mergeCell ref="F25:G25"/>
    <mergeCell ref="F26:G26"/>
    <mergeCell ref="A26:C26"/>
    <mergeCell ref="A32:C32"/>
    <mergeCell ref="A33:C33"/>
    <mergeCell ref="A34:C34"/>
    <mergeCell ref="F27:H32"/>
    <mergeCell ref="D29:E29"/>
    <mergeCell ref="A24:C24"/>
    <mergeCell ref="A27:C27"/>
    <mergeCell ref="A28:C28"/>
    <mergeCell ref="A29:C29"/>
    <mergeCell ref="A30:C30"/>
    <mergeCell ref="D24:E2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5018B-DF16-410F-9230-1179376B97E1}">
  <dimension ref="A1:P27"/>
  <sheetViews>
    <sheetView workbookViewId="0">
      <selection activeCell="D11" sqref="D11"/>
    </sheetView>
  </sheetViews>
  <sheetFormatPr defaultRowHeight="15" x14ac:dyDescent="0.25"/>
  <cols>
    <col min="4" max="4" width="11" bestFit="1" customWidth="1"/>
    <col min="7" max="7" width="9.5703125" bestFit="1" customWidth="1"/>
  </cols>
  <sheetData>
    <row r="1" spans="1:16" x14ac:dyDescent="0.25">
      <c r="A1" s="463" t="s">
        <v>51</v>
      </c>
      <c r="B1" s="463"/>
      <c r="C1" s="463"/>
      <c r="D1" s="463"/>
      <c r="E1" s="463"/>
    </row>
    <row r="2" spans="1:16" ht="15.75" thickBot="1" x14ac:dyDescent="0.3">
      <c r="A2" s="524" t="s">
        <v>443</v>
      </c>
      <c r="B2" s="524"/>
      <c r="C2" s="524"/>
      <c r="D2" s="524"/>
      <c r="E2" s="524"/>
    </row>
    <row r="3" spans="1:16" ht="15.75" thickBot="1" x14ac:dyDescent="0.3">
      <c r="A3" s="442" t="s">
        <v>444</v>
      </c>
      <c r="B3" s="442"/>
      <c r="C3" s="442"/>
      <c r="D3" s="442"/>
      <c r="E3" s="442"/>
      <c r="K3" s="375" t="s">
        <v>413</v>
      </c>
      <c r="L3" s="376"/>
      <c r="M3" s="376"/>
      <c r="N3" s="376"/>
      <c r="O3" s="376"/>
      <c r="P3" s="377"/>
    </row>
    <row r="4" spans="1:16" x14ac:dyDescent="0.25">
      <c r="K4" s="378" t="s">
        <v>1261</v>
      </c>
      <c r="L4" s="379"/>
      <c r="M4" s="379"/>
      <c r="N4" s="379"/>
      <c r="O4" s="379"/>
      <c r="P4" s="468"/>
    </row>
    <row r="5" spans="1:16" ht="18.75" customHeight="1" thickBot="1" x14ac:dyDescent="0.3">
      <c r="K5" s="384" t="s">
        <v>1262</v>
      </c>
      <c r="L5" s="385"/>
      <c r="M5" s="385"/>
      <c r="N5" s="385"/>
      <c r="O5" s="385"/>
      <c r="P5" s="494"/>
    </row>
    <row r="6" spans="1:16" ht="15.75" thickBot="1" x14ac:dyDescent="0.3">
      <c r="A6" s="388" t="s">
        <v>413</v>
      </c>
      <c r="B6" s="389"/>
      <c r="C6" s="389"/>
      <c r="D6" s="389"/>
      <c r="E6" s="389"/>
      <c r="F6" s="389"/>
      <c r="G6" s="390"/>
    </row>
    <row r="7" spans="1:16" ht="15.75" thickBot="1" x14ac:dyDescent="0.3">
      <c r="A7" s="769" t="s">
        <v>35</v>
      </c>
      <c r="B7" s="770"/>
      <c r="C7" s="1040"/>
      <c r="D7" s="274" t="s">
        <v>55</v>
      </c>
      <c r="E7" s="422" t="s">
        <v>36</v>
      </c>
      <c r="F7" s="422"/>
      <c r="G7" s="540"/>
      <c r="K7" s="342" t="s">
        <v>1131</v>
      </c>
      <c r="L7" s="343"/>
      <c r="M7" s="343"/>
      <c r="N7" s="344"/>
    </row>
    <row r="8" spans="1:16" x14ac:dyDescent="0.25">
      <c r="A8" s="675" t="s">
        <v>1407</v>
      </c>
      <c r="B8" s="676"/>
      <c r="C8" s="676"/>
      <c r="D8" s="912">
        <v>8</v>
      </c>
      <c r="E8" s="676" t="s">
        <v>1263</v>
      </c>
      <c r="F8" s="676"/>
      <c r="G8" s="1041">
        <f>LN(D8)/LN(2)</f>
        <v>3</v>
      </c>
      <c r="K8" s="378" t="s">
        <v>1132</v>
      </c>
      <c r="L8" s="364"/>
      <c r="M8" s="364"/>
      <c r="N8" s="365"/>
    </row>
    <row r="9" spans="1:16" ht="15.75" thickBot="1" x14ac:dyDescent="0.3">
      <c r="A9" s="675"/>
      <c r="B9" s="676"/>
      <c r="C9" s="676"/>
      <c r="D9" s="912"/>
      <c r="E9" s="676"/>
      <c r="F9" s="676"/>
      <c r="G9" s="1041"/>
      <c r="K9" s="1025"/>
      <c r="L9" s="553"/>
      <c r="M9" s="553"/>
      <c r="N9" s="768"/>
    </row>
    <row r="10" spans="1:16" ht="15.75" thickBot="1" x14ac:dyDescent="0.3">
      <c r="A10" s="357" t="s">
        <v>1264</v>
      </c>
      <c r="B10" s="358"/>
      <c r="C10" s="358"/>
      <c r="D10" s="277">
        <v>10</v>
      </c>
      <c r="E10" s="358" t="s">
        <v>1265</v>
      </c>
      <c r="F10" s="358"/>
      <c r="G10" s="275">
        <f>G8*D10</f>
        <v>30</v>
      </c>
      <c r="K10" s="342" t="s">
        <v>1138</v>
      </c>
      <c r="L10" s="343"/>
      <c r="M10" s="343"/>
      <c r="N10" s="344"/>
    </row>
    <row r="11" spans="1:16" ht="15.75" thickBot="1" x14ac:dyDescent="0.3">
      <c r="K11" s="621" t="s">
        <v>1139</v>
      </c>
      <c r="L11" s="622"/>
      <c r="M11" s="622"/>
      <c r="N11" s="623"/>
    </row>
    <row r="12" spans="1:16" ht="18" thickBot="1" x14ac:dyDescent="0.3">
      <c r="A12" s="375" t="s">
        <v>1266</v>
      </c>
      <c r="B12" s="376"/>
      <c r="C12" s="376"/>
      <c r="D12" s="376"/>
      <c r="E12" s="376"/>
      <c r="F12" s="376"/>
      <c r="G12" s="376"/>
      <c r="H12" s="377"/>
      <c r="K12" s="1034" t="s">
        <v>1135</v>
      </c>
      <c r="L12" s="367"/>
      <c r="M12" s="367"/>
      <c r="N12" s="368"/>
    </row>
    <row r="13" spans="1:16" x14ac:dyDescent="0.25">
      <c r="A13" s="521" t="s">
        <v>35</v>
      </c>
      <c r="B13" s="520"/>
      <c r="C13" s="520" t="s">
        <v>55</v>
      </c>
      <c r="D13" s="520"/>
      <c r="E13" s="422" t="s">
        <v>36</v>
      </c>
      <c r="F13" s="422"/>
      <c r="G13" s="422"/>
      <c r="H13" s="540"/>
      <c r="I13" s="66"/>
      <c r="K13" s="1034"/>
      <c r="L13" s="367"/>
      <c r="M13" s="367"/>
      <c r="N13" s="368"/>
    </row>
    <row r="14" spans="1:16" x14ac:dyDescent="0.25">
      <c r="A14" s="380" t="s">
        <v>497</v>
      </c>
      <c r="B14" s="381"/>
      <c r="C14" s="273" t="s">
        <v>150</v>
      </c>
      <c r="D14" s="270" t="s">
        <v>1274</v>
      </c>
      <c r="E14" s="270" t="s">
        <v>1267</v>
      </c>
      <c r="F14" s="288">
        <f>(C18*D18+C17*D17)-(C16*D16+C15*D15)</f>
        <v>1.2664900000004309E-2</v>
      </c>
      <c r="G14" s="923">
        <f>F14</f>
        <v>1.2664900000004309E-2</v>
      </c>
      <c r="H14" s="924"/>
      <c r="I14" s="290"/>
      <c r="K14" s="386" t="s">
        <v>1137</v>
      </c>
      <c r="L14" s="542"/>
      <c r="M14" s="542"/>
      <c r="N14" s="617"/>
    </row>
    <row r="15" spans="1:16" x14ac:dyDescent="0.25">
      <c r="A15" s="378" t="s">
        <v>88</v>
      </c>
      <c r="B15" s="379"/>
      <c r="C15" s="1">
        <v>1</v>
      </c>
      <c r="D15" s="5">
        <v>239.0522</v>
      </c>
      <c r="E15" s="270" t="s">
        <v>1268</v>
      </c>
      <c r="F15" s="288">
        <f>((F14/1000)*Speed_of_Light_in_a_Vacuum^2)/1000</f>
        <v>1138264446.3187795</v>
      </c>
      <c r="G15" s="551" t="str">
        <f>IF(F14&lt;0,"Energy Released",
IF(F14&gt;0,"Energy Absorbed",
IF(F14=0,"Equilibrium",
"Check Inputs")))</f>
        <v>Energy Absorbed</v>
      </c>
      <c r="H15" s="368"/>
      <c r="I15" s="35"/>
      <c r="K15" s="1034" t="s">
        <v>1133</v>
      </c>
      <c r="L15" s="367"/>
      <c r="M15" s="367"/>
      <c r="N15" s="368"/>
    </row>
    <row r="16" spans="1:16" x14ac:dyDescent="0.25">
      <c r="A16" s="380" t="s">
        <v>133</v>
      </c>
      <c r="B16" s="381"/>
      <c r="C16" s="1">
        <v>1</v>
      </c>
      <c r="D16" s="1">
        <v>4.0026000000000002</v>
      </c>
      <c r="E16" s="270" t="s">
        <v>1272</v>
      </c>
      <c r="F16" s="288">
        <f>C19*elementary_charge*1000000</f>
        <v>1.60218E-13</v>
      </c>
      <c r="G16" s="381" t="s">
        <v>183</v>
      </c>
      <c r="H16" s="490"/>
      <c r="I16" s="66"/>
      <c r="K16" s="1034"/>
      <c r="L16" s="367"/>
      <c r="M16" s="367"/>
      <c r="N16" s="368"/>
    </row>
    <row r="17" spans="1:14" x14ac:dyDescent="0.25">
      <c r="A17" s="380" t="s">
        <v>86</v>
      </c>
      <c r="B17" s="381"/>
      <c r="C17" s="1">
        <v>1</v>
      </c>
      <c r="D17" s="1">
        <v>242.05879999999999</v>
      </c>
      <c r="E17" s="270" t="s">
        <v>1273</v>
      </c>
      <c r="F17" s="289">
        <f>F16*Avogadro_s_Number</f>
        <v>96485522652</v>
      </c>
      <c r="G17" s="1043">
        <f>F15</f>
        <v>1138264446.3187795</v>
      </c>
      <c r="H17" s="1044"/>
      <c r="K17" s="386" t="s">
        <v>1140</v>
      </c>
      <c r="L17" s="542"/>
      <c r="M17" s="542"/>
      <c r="N17" s="617"/>
    </row>
    <row r="18" spans="1:14" x14ac:dyDescent="0.25">
      <c r="A18" s="380" t="s">
        <v>87</v>
      </c>
      <c r="B18" s="381"/>
      <c r="C18" s="1">
        <v>1</v>
      </c>
      <c r="D18" s="1">
        <v>1.0086649000000001</v>
      </c>
      <c r="E18" s="276" t="s">
        <v>183</v>
      </c>
      <c r="F18" s="291">
        <f>F17/1000</f>
        <v>96485522.651999995</v>
      </c>
      <c r="G18" s="381" t="s">
        <v>1272</v>
      </c>
      <c r="H18" s="490"/>
      <c r="K18" s="1035" t="s">
        <v>1136</v>
      </c>
      <c r="L18" s="367"/>
      <c r="M18" s="367"/>
      <c r="N18" s="368"/>
    </row>
    <row r="19" spans="1:14" ht="15.75" thickBot="1" x14ac:dyDescent="0.3">
      <c r="A19" s="357" t="s">
        <v>1271</v>
      </c>
      <c r="B19" s="358"/>
      <c r="C19" s="466">
        <v>1</v>
      </c>
      <c r="D19" s="1042"/>
      <c r="E19" s="631"/>
      <c r="F19" s="631"/>
      <c r="G19" s="697">
        <f>G17/F18</f>
        <v>11.797256365851121</v>
      </c>
      <c r="H19" s="698"/>
      <c r="K19" s="1036"/>
      <c r="L19" s="367"/>
      <c r="M19" s="367"/>
      <c r="N19" s="368"/>
    </row>
    <row r="20" spans="1:14" x14ac:dyDescent="0.25">
      <c r="K20" s="1037" t="s">
        <v>1141</v>
      </c>
      <c r="L20" s="1038"/>
      <c r="M20" s="1038"/>
      <c r="N20" s="1039"/>
    </row>
    <row r="21" spans="1:14" x14ac:dyDescent="0.25">
      <c r="K21" s="366"/>
      <c r="L21" s="367"/>
      <c r="M21" s="367"/>
      <c r="N21" s="368"/>
    </row>
    <row r="22" spans="1:14" x14ac:dyDescent="0.25">
      <c r="K22" s="366"/>
      <c r="L22" s="367"/>
      <c r="M22" s="367"/>
      <c r="N22" s="368"/>
    </row>
    <row r="23" spans="1:14" x14ac:dyDescent="0.25">
      <c r="K23" s="386" t="s">
        <v>1142</v>
      </c>
      <c r="L23" s="542"/>
      <c r="M23" s="542"/>
      <c r="N23" s="617"/>
    </row>
    <row r="24" spans="1:14" x14ac:dyDescent="0.25">
      <c r="K24" s="366"/>
      <c r="L24" s="367"/>
      <c r="M24" s="367"/>
      <c r="N24" s="368"/>
    </row>
    <row r="25" spans="1:14" x14ac:dyDescent="0.25">
      <c r="K25" s="366"/>
      <c r="L25" s="367"/>
      <c r="M25" s="367"/>
      <c r="N25" s="368"/>
    </row>
    <row r="26" spans="1:14" x14ac:dyDescent="0.25">
      <c r="K26" s="386" t="s">
        <v>1143</v>
      </c>
      <c r="L26" s="542"/>
      <c r="M26" s="542" t="s">
        <v>1144</v>
      </c>
      <c r="N26" s="617"/>
    </row>
    <row r="27" spans="1:14" ht="16.5" thickBot="1" x14ac:dyDescent="0.3">
      <c r="K27" s="1032" t="s">
        <v>1134</v>
      </c>
      <c r="L27" s="1033"/>
      <c r="M27" s="358"/>
      <c r="N27" s="359"/>
    </row>
  </sheetData>
  <mergeCells count="54">
    <mergeCell ref="A19:B19"/>
    <mergeCell ref="G14:H14"/>
    <mergeCell ref="G16:H16"/>
    <mergeCell ref="G18:H18"/>
    <mergeCell ref="G19:H19"/>
    <mergeCell ref="E19:F19"/>
    <mergeCell ref="C19:D19"/>
    <mergeCell ref="A18:B18"/>
    <mergeCell ref="A15:B15"/>
    <mergeCell ref="A16:B16"/>
    <mergeCell ref="G15:H15"/>
    <mergeCell ref="G17:H17"/>
    <mergeCell ref="A14:B14"/>
    <mergeCell ref="A17:B17"/>
    <mergeCell ref="C13:D13"/>
    <mergeCell ref="E13:H13"/>
    <mergeCell ref="A10:C10"/>
    <mergeCell ref="E10:F10"/>
    <mergeCell ref="A12:H12"/>
    <mergeCell ref="A13:B13"/>
    <mergeCell ref="D8:D9"/>
    <mergeCell ref="A1:E1"/>
    <mergeCell ref="A2:E2"/>
    <mergeCell ref="A3:E3"/>
    <mergeCell ref="K7:N7"/>
    <mergeCell ref="K8:K9"/>
    <mergeCell ref="L8:N9"/>
    <mergeCell ref="A8:C9"/>
    <mergeCell ref="A6:G6"/>
    <mergeCell ref="A7:C7"/>
    <mergeCell ref="K3:P3"/>
    <mergeCell ref="K4:P4"/>
    <mergeCell ref="K5:P5"/>
    <mergeCell ref="E7:G7"/>
    <mergeCell ref="E8:F9"/>
    <mergeCell ref="G8:G9"/>
    <mergeCell ref="K23:N23"/>
    <mergeCell ref="K10:N10"/>
    <mergeCell ref="K11:N11"/>
    <mergeCell ref="K12:K13"/>
    <mergeCell ref="L12:N13"/>
    <mergeCell ref="K14:N14"/>
    <mergeCell ref="K15:K16"/>
    <mergeCell ref="L15:N16"/>
    <mergeCell ref="K17:N17"/>
    <mergeCell ref="K18:K19"/>
    <mergeCell ref="L18:N19"/>
    <mergeCell ref="K20:N20"/>
    <mergeCell ref="K21:N22"/>
    <mergeCell ref="K24:N25"/>
    <mergeCell ref="K26:L26"/>
    <mergeCell ref="M26:N26"/>
    <mergeCell ref="K27:L27"/>
    <mergeCell ref="M27:N27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5201-171B-41C3-BA3D-A4DFF68C9E8B}">
  <sheetPr codeName="Sheet1"/>
  <dimension ref="A1:W27"/>
  <sheetViews>
    <sheetView workbookViewId="0">
      <selection activeCell="P24" sqref="P24"/>
    </sheetView>
  </sheetViews>
  <sheetFormatPr defaultRowHeight="15" x14ac:dyDescent="0.25"/>
  <cols>
    <col min="1" max="2" width="9.140625" customWidth="1"/>
    <col min="3" max="3" width="9" customWidth="1"/>
    <col min="4" max="4" width="8.28515625" customWidth="1"/>
    <col min="5" max="5" width="8.5703125" customWidth="1"/>
    <col min="6" max="6" width="8.7109375" customWidth="1"/>
    <col min="7" max="8" width="8.85546875" customWidth="1"/>
    <col min="9" max="9" width="9.28515625" customWidth="1"/>
    <col min="10" max="10" width="8.28515625" customWidth="1"/>
  </cols>
  <sheetData>
    <row r="1" spans="1:22" x14ac:dyDescent="0.25">
      <c r="A1" s="516" t="s">
        <v>51</v>
      </c>
      <c r="B1" s="516"/>
      <c r="C1" s="516"/>
      <c r="D1" s="516"/>
    </row>
    <row r="2" spans="1:22" x14ac:dyDescent="0.25">
      <c r="A2" s="517" t="s">
        <v>443</v>
      </c>
      <c r="B2" s="517"/>
      <c r="C2" s="517"/>
      <c r="D2" s="517"/>
    </row>
    <row r="3" spans="1:22" x14ac:dyDescent="0.25">
      <c r="A3" s="518" t="s">
        <v>444</v>
      </c>
      <c r="B3" s="518"/>
      <c r="C3" s="518"/>
      <c r="D3" s="518"/>
    </row>
    <row r="4" spans="1:22" ht="15.75" thickBot="1" x14ac:dyDescent="0.3"/>
    <row r="5" spans="1:22" s="27" customFormat="1" ht="15.75" thickBot="1" x14ac:dyDescent="0.3">
      <c r="A5" s="375" t="s">
        <v>0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7"/>
    </row>
    <row r="6" spans="1:22" ht="15.75" customHeight="1" x14ac:dyDescent="0.25">
      <c r="A6" s="521" t="s">
        <v>7</v>
      </c>
      <c r="B6" s="520"/>
      <c r="C6" s="520" t="s">
        <v>8</v>
      </c>
      <c r="D6" s="520"/>
      <c r="E6" s="503" t="s">
        <v>378</v>
      </c>
      <c r="F6" s="503"/>
      <c r="G6" s="503"/>
      <c r="H6" s="520" t="s">
        <v>16</v>
      </c>
      <c r="I6" s="520"/>
      <c r="J6" s="503" t="s">
        <v>18</v>
      </c>
      <c r="K6" s="503"/>
      <c r="L6" s="503"/>
      <c r="M6" s="520" t="s">
        <v>9</v>
      </c>
      <c r="N6" s="520"/>
      <c r="O6" s="503" t="s">
        <v>10</v>
      </c>
      <c r="P6" s="503"/>
      <c r="Q6" s="503" t="s">
        <v>3</v>
      </c>
      <c r="R6" s="503"/>
      <c r="S6" s="503" t="s">
        <v>11</v>
      </c>
      <c r="T6" s="503"/>
      <c r="U6" s="503" t="s">
        <v>4</v>
      </c>
      <c r="V6" s="507"/>
    </row>
    <row r="7" spans="1:22" ht="15.75" customHeight="1" x14ac:dyDescent="0.25">
      <c r="A7" s="459"/>
      <c r="B7" s="460"/>
      <c r="C7" s="460"/>
      <c r="D7" s="460"/>
      <c r="E7" s="499"/>
      <c r="F7" s="499"/>
      <c r="G7" s="499"/>
      <c r="H7" s="460"/>
      <c r="I7" s="460"/>
      <c r="J7" s="499"/>
      <c r="K7" s="499"/>
      <c r="L7" s="499"/>
      <c r="M7" s="460"/>
      <c r="N7" s="460"/>
      <c r="O7" s="499"/>
      <c r="P7" s="499"/>
      <c r="Q7" s="499"/>
      <c r="R7" s="499"/>
      <c r="S7" s="499"/>
      <c r="T7" s="499"/>
      <c r="U7" s="499"/>
      <c r="V7" s="508"/>
    </row>
    <row r="8" spans="1:22" x14ac:dyDescent="0.25">
      <c r="A8" s="380" t="s">
        <v>1</v>
      </c>
      <c r="B8" s="381"/>
      <c r="C8" s="500" t="s">
        <v>1331</v>
      </c>
      <c r="D8" s="500"/>
      <c r="E8" s="500">
        <v>2</v>
      </c>
      <c r="F8" s="500"/>
      <c r="G8" s="500"/>
      <c r="H8" s="500">
        <v>1</v>
      </c>
      <c r="I8" s="500"/>
      <c r="J8" s="500">
        <f>H+Cl</f>
        <v>36.460940000000001</v>
      </c>
      <c r="K8" s="500"/>
      <c r="L8" s="500"/>
      <c r="M8" s="381">
        <f>H8/J8</f>
        <v>2.7426610504282117E-2</v>
      </c>
      <c r="N8" s="381"/>
      <c r="O8" s="509">
        <f>M8</f>
        <v>2.7426610504282117E-2</v>
      </c>
      <c r="P8" s="509"/>
      <c r="Q8" s="504">
        <f>M8-O8</f>
        <v>0</v>
      </c>
      <c r="R8" s="504"/>
      <c r="S8" s="509">
        <f>M9*(E8/E9)</f>
        <v>3.059039461609055E-2</v>
      </c>
      <c r="T8" s="509"/>
      <c r="U8" s="504">
        <f>M8-S8</f>
        <v>-3.1637841118084334E-3</v>
      </c>
      <c r="V8" s="505"/>
    </row>
    <row r="9" spans="1:22" x14ac:dyDescent="0.25">
      <c r="A9" s="380" t="s">
        <v>2</v>
      </c>
      <c r="B9" s="381"/>
      <c r="C9" s="500" t="s">
        <v>221</v>
      </c>
      <c r="D9" s="500"/>
      <c r="E9" s="500">
        <v>1</v>
      </c>
      <c r="F9" s="500"/>
      <c r="G9" s="500"/>
      <c r="H9" s="500">
        <v>1</v>
      </c>
      <c r="I9" s="500"/>
      <c r="J9" s="500">
        <f>Zn</f>
        <v>65.38</v>
      </c>
      <c r="K9" s="500"/>
      <c r="L9" s="500"/>
      <c r="M9" s="381">
        <f>H9/J9</f>
        <v>1.5295197308045275E-2</v>
      </c>
      <c r="N9" s="381"/>
      <c r="O9" s="509">
        <f>M8*(E9/E8)</f>
        <v>1.3713305252141058E-2</v>
      </c>
      <c r="P9" s="509"/>
      <c r="Q9" s="504">
        <f>M9-O9</f>
        <v>1.5818920559042167E-3</v>
      </c>
      <c r="R9" s="504"/>
      <c r="S9" s="509">
        <f>M9</f>
        <v>1.5295197308045275E-2</v>
      </c>
      <c r="T9" s="509"/>
      <c r="U9" s="504">
        <f>M9-S9</f>
        <v>0</v>
      </c>
      <c r="V9" s="505"/>
    </row>
    <row r="10" spans="1:22" x14ac:dyDescent="0.25">
      <c r="A10" s="514" t="s">
        <v>5</v>
      </c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6"/>
    </row>
    <row r="11" spans="1:22" x14ac:dyDescent="0.25">
      <c r="A11" s="514" t="s">
        <v>6</v>
      </c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6"/>
    </row>
    <row r="12" spans="1:22" ht="15.75" customHeight="1" x14ac:dyDescent="0.25">
      <c r="A12" s="519" t="s">
        <v>12</v>
      </c>
      <c r="B12" s="499"/>
      <c r="C12" s="499" t="s">
        <v>54</v>
      </c>
      <c r="D12" s="499"/>
      <c r="E12" s="499" t="s">
        <v>379</v>
      </c>
      <c r="F12" s="499"/>
      <c r="G12" s="499"/>
      <c r="H12" s="499" t="s">
        <v>20</v>
      </c>
      <c r="I12" s="499"/>
      <c r="J12" s="499" t="s">
        <v>13</v>
      </c>
      <c r="K12" s="499"/>
      <c r="L12" s="499"/>
      <c r="M12" s="499" t="s">
        <v>15</v>
      </c>
      <c r="N12" s="499"/>
      <c r="O12" s="499" t="s">
        <v>14</v>
      </c>
      <c r="P12" s="499"/>
      <c r="Q12" s="499" t="s">
        <v>17</v>
      </c>
      <c r="R12" s="499"/>
      <c r="S12" s="495" t="s">
        <v>19</v>
      </c>
      <c r="T12" s="495"/>
      <c r="U12" s="495"/>
      <c r="V12" s="496"/>
    </row>
    <row r="13" spans="1:22" ht="13.5" customHeight="1" x14ac:dyDescent="0.25">
      <c r="A13" s="519"/>
      <c r="B13" s="499"/>
      <c r="C13" s="499"/>
      <c r="D13" s="499"/>
      <c r="E13" s="499"/>
      <c r="F13" s="499"/>
      <c r="G13" s="499"/>
      <c r="H13" s="499"/>
      <c r="I13" s="499"/>
      <c r="J13" s="499"/>
      <c r="K13" s="499"/>
      <c r="L13" s="499"/>
      <c r="M13" s="499"/>
      <c r="N13" s="499"/>
      <c r="O13" s="499"/>
      <c r="P13" s="499"/>
      <c r="Q13" s="499"/>
      <c r="R13" s="499"/>
      <c r="S13" s="495"/>
      <c r="T13" s="495"/>
      <c r="U13" s="495"/>
      <c r="V13" s="496"/>
    </row>
    <row r="14" spans="1:22" x14ac:dyDescent="0.25">
      <c r="A14" s="511">
        <f>IF(AND(Q8&lt;0,U8=0),S8,IF(AND(Q8=0,U8&lt;0),O8,A16))</f>
        <v>2.7426610504282117E-2</v>
      </c>
      <c r="B14" s="509"/>
      <c r="C14" s="509" t="str">
        <f>IF(AND(Q8&lt;0,U8=0),C8,IF(AND(Q8=0,U8&lt;0),C8,B16))</f>
        <v>HCl</v>
      </c>
      <c r="D14" s="509"/>
      <c r="E14" s="509">
        <f>IF(AND(Q8&lt;=0,U8&lt;=0),E8,E9)</f>
        <v>2</v>
      </c>
      <c r="F14" s="509"/>
      <c r="G14" s="509"/>
      <c r="H14" s="500" t="s">
        <v>1331</v>
      </c>
      <c r="I14" s="500"/>
      <c r="J14" s="500">
        <v>2</v>
      </c>
      <c r="K14" s="500"/>
      <c r="L14" s="500"/>
      <c r="M14" s="500">
        <f>H+Cl</f>
        <v>36.460940000000001</v>
      </c>
      <c r="N14" s="500"/>
      <c r="O14" s="381">
        <f>A14*(J14/E14)</f>
        <v>2.7426610504282117E-2</v>
      </c>
      <c r="P14" s="381"/>
      <c r="Q14" s="504">
        <f>M14*O14</f>
        <v>1</v>
      </c>
      <c r="R14" s="504"/>
      <c r="S14" s="495"/>
      <c r="T14" s="495"/>
      <c r="U14" s="495"/>
      <c r="V14" s="496"/>
    </row>
    <row r="15" spans="1:22" ht="15.75" thickBot="1" x14ac:dyDescent="0.3">
      <c r="A15" s="512"/>
      <c r="B15" s="513"/>
      <c r="C15" s="510"/>
      <c r="D15" s="510"/>
      <c r="E15" s="510"/>
      <c r="F15" s="510"/>
      <c r="G15" s="510"/>
      <c r="H15" s="501"/>
      <c r="I15" s="501"/>
      <c r="J15" s="501"/>
      <c r="K15" s="501"/>
      <c r="L15" s="501"/>
      <c r="M15" s="501"/>
      <c r="N15" s="501"/>
      <c r="O15" s="385"/>
      <c r="P15" s="385"/>
      <c r="Q15" s="515"/>
      <c r="R15" s="515"/>
      <c r="S15" s="497"/>
      <c r="T15" s="497"/>
      <c r="U15" s="497"/>
      <c r="V15" s="498"/>
    </row>
    <row r="16" spans="1:22" ht="15.75" thickBot="1" x14ac:dyDescent="0.3">
      <c r="A16" s="334" t="str">
        <f>IF(AND(Q9&lt;0,U9=0),S9,IF(AND(O9=0,U9&lt;0),O9,""))</f>
        <v/>
      </c>
      <c r="B16" s="335" t="str">
        <f>IF(AND(Q9&lt;0,U9=0),C9,IF(AND(O9=0,U9&lt;0),C9,""))</f>
        <v/>
      </c>
    </row>
    <row r="17" spans="3:23" ht="15.75" thickBot="1" x14ac:dyDescent="0.3">
      <c r="T17" s="388" t="s">
        <v>47</v>
      </c>
      <c r="U17" s="389"/>
      <c r="V17" s="389"/>
      <c r="W17" s="390"/>
    </row>
    <row r="18" spans="3:23" ht="18.75" thickBot="1" x14ac:dyDescent="0.4">
      <c r="C18" s="388" t="s">
        <v>1406</v>
      </c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90"/>
      <c r="T18" s="363" t="s">
        <v>193</v>
      </c>
      <c r="U18" s="364"/>
      <c r="V18" s="301" t="s">
        <v>48</v>
      </c>
      <c r="W18" s="56">
        <v>18.015280000000001</v>
      </c>
    </row>
    <row r="19" spans="3:23" ht="18" x14ac:dyDescent="0.35">
      <c r="C19" s="364" t="s">
        <v>88</v>
      </c>
      <c r="D19" s="364"/>
      <c r="E19" s="364" t="s">
        <v>133</v>
      </c>
      <c r="F19" s="364"/>
      <c r="G19" s="364" t="s">
        <v>136</v>
      </c>
      <c r="H19" s="364"/>
      <c r="I19" s="364" t="s">
        <v>86</v>
      </c>
      <c r="J19" s="364"/>
      <c r="K19" s="364" t="s">
        <v>87</v>
      </c>
      <c r="L19" s="364"/>
      <c r="M19" s="364" t="s">
        <v>137</v>
      </c>
      <c r="N19" s="364"/>
      <c r="T19" s="366" t="s">
        <v>194</v>
      </c>
      <c r="U19" s="367"/>
      <c r="V19" s="303" t="s">
        <v>49</v>
      </c>
      <c r="W19" s="304">
        <v>31.998799999999999</v>
      </c>
    </row>
    <row r="20" spans="3:23" ht="18" x14ac:dyDescent="0.35">
      <c r="C20" s="21" t="s">
        <v>185</v>
      </c>
      <c r="D20" s="321" t="s">
        <v>838</v>
      </c>
      <c r="E20" s="21" t="s">
        <v>185</v>
      </c>
      <c r="F20" s="321" t="s">
        <v>838</v>
      </c>
      <c r="G20" s="21" t="s">
        <v>185</v>
      </c>
      <c r="H20" s="321" t="s">
        <v>838</v>
      </c>
      <c r="I20" s="21" t="s">
        <v>185</v>
      </c>
      <c r="J20" s="321" t="s">
        <v>838</v>
      </c>
      <c r="K20" s="21" t="s">
        <v>185</v>
      </c>
      <c r="L20" s="321" t="s">
        <v>838</v>
      </c>
      <c r="M20" s="21" t="s">
        <v>185</v>
      </c>
      <c r="N20" s="321" t="s">
        <v>838</v>
      </c>
      <c r="T20" s="366" t="s">
        <v>195</v>
      </c>
      <c r="U20" s="367"/>
      <c r="V20" s="303" t="s">
        <v>50</v>
      </c>
      <c r="W20" s="304">
        <v>44.009500000000003</v>
      </c>
    </row>
    <row r="21" spans="3:23" ht="18" x14ac:dyDescent="0.25">
      <c r="C21" s="1" t="s">
        <v>217</v>
      </c>
      <c r="D21" s="1">
        <v>1</v>
      </c>
      <c r="E21" s="1" t="s">
        <v>53</v>
      </c>
      <c r="F21" s="1">
        <v>2</v>
      </c>
      <c r="G21" s="1" t="s">
        <v>52</v>
      </c>
      <c r="H21" s="1">
        <v>2</v>
      </c>
      <c r="I21" s="1" t="s">
        <v>217</v>
      </c>
      <c r="J21" s="1">
        <v>1</v>
      </c>
      <c r="K21" s="1"/>
      <c r="L21" s="1"/>
      <c r="M21" s="1"/>
      <c r="N21" s="1"/>
      <c r="T21" s="366" t="s">
        <v>164</v>
      </c>
      <c r="U21" s="367"/>
      <c r="V21" s="306" t="s">
        <v>168</v>
      </c>
      <c r="W21" s="308">
        <v>44.095619999999997</v>
      </c>
    </row>
    <row r="22" spans="3:23" ht="18.75" thickBot="1" x14ac:dyDescent="0.4">
      <c r="C22" s="1"/>
      <c r="D22" s="1"/>
      <c r="E22" s="1"/>
      <c r="F22" s="1"/>
      <c r="G22" s="1" t="s">
        <v>53</v>
      </c>
      <c r="H22" s="1">
        <v>1</v>
      </c>
      <c r="I22" s="1" t="s">
        <v>53</v>
      </c>
      <c r="J22" s="1">
        <v>2</v>
      </c>
      <c r="K22" s="1"/>
      <c r="L22" s="1"/>
      <c r="M22" s="1"/>
      <c r="N22" s="1"/>
      <c r="T22" s="357" t="s">
        <v>151</v>
      </c>
      <c r="U22" s="358"/>
      <c r="V22" s="299" t="s">
        <v>180</v>
      </c>
      <c r="W22" s="300">
        <v>58.122199999999999</v>
      </c>
    </row>
    <row r="23" spans="3:23" x14ac:dyDescent="0.25">
      <c r="C23" s="1"/>
      <c r="D23" s="1"/>
      <c r="E23" s="1"/>
      <c r="F23" s="1"/>
      <c r="G23" s="1"/>
      <c r="H23" s="1"/>
      <c r="I23" s="1" t="s">
        <v>52</v>
      </c>
      <c r="J23" s="1">
        <v>2</v>
      </c>
      <c r="K23" s="1"/>
      <c r="L23" s="1"/>
      <c r="M23" s="1"/>
      <c r="N23" s="1"/>
    </row>
    <row r="24" spans="3:23" x14ac:dyDescent="0.25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3:23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3:23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3:23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</sheetData>
  <mergeCells count="84">
    <mergeCell ref="A1:D1"/>
    <mergeCell ref="A2:D2"/>
    <mergeCell ref="A3:D3"/>
    <mergeCell ref="A12:B13"/>
    <mergeCell ref="C6:D7"/>
    <mergeCell ref="A6:B7"/>
    <mergeCell ref="A8:B8"/>
    <mergeCell ref="A9:B9"/>
    <mergeCell ref="A10:B10"/>
    <mergeCell ref="A5:V5"/>
    <mergeCell ref="E6:G7"/>
    <mergeCell ref="H6:I7"/>
    <mergeCell ref="M6:N7"/>
    <mergeCell ref="J6:L7"/>
    <mergeCell ref="S9:T9"/>
    <mergeCell ref="S10:T10"/>
    <mergeCell ref="T20:U20"/>
    <mergeCell ref="T21:U21"/>
    <mergeCell ref="T22:U22"/>
    <mergeCell ref="A14:B15"/>
    <mergeCell ref="C8:D8"/>
    <mergeCell ref="C9:D9"/>
    <mergeCell ref="C10:D10"/>
    <mergeCell ref="C11:D11"/>
    <mergeCell ref="C12:D13"/>
    <mergeCell ref="C14:D15"/>
    <mergeCell ref="A11:B11"/>
    <mergeCell ref="O8:P8"/>
    <mergeCell ref="O9:P9"/>
    <mergeCell ref="O10:P10"/>
    <mergeCell ref="Q12:R13"/>
    <mergeCell ref="Q14:R15"/>
    <mergeCell ref="Q8:R8"/>
    <mergeCell ref="Q9:R9"/>
    <mergeCell ref="Q10:R10"/>
    <mergeCell ref="M11:N11"/>
    <mergeCell ref="M12:N13"/>
    <mergeCell ref="Q11:R11"/>
    <mergeCell ref="E8:G8"/>
    <mergeCell ref="E9:G9"/>
    <mergeCell ref="E10:G10"/>
    <mergeCell ref="E11:G11"/>
    <mergeCell ref="E12:G13"/>
    <mergeCell ref="H8:I8"/>
    <mergeCell ref="H9:I9"/>
    <mergeCell ref="H10:I10"/>
    <mergeCell ref="H11:I11"/>
    <mergeCell ref="H12:I13"/>
    <mergeCell ref="Q6:R7"/>
    <mergeCell ref="O6:P7"/>
    <mergeCell ref="O11:P11"/>
    <mergeCell ref="M19:N19"/>
    <mergeCell ref="C18:N18"/>
    <mergeCell ref="M14:N15"/>
    <mergeCell ref="J8:L8"/>
    <mergeCell ref="J9:L9"/>
    <mergeCell ref="J10:L10"/>
    <mergeCell ref="J11:L11"/>
    <mergeCell ref="J12:L13"/>
    <mergeCell ref="J14:L15"/>
    <mergeCell ref="M8:N8"/>
    <mergeCell ref="M9:N9"/>
    <mergeCell ref="M10:N10"/>
    <mergeCell ref="E14:G15"/>
    <mergeCell ref="S11:T11"/>
    <mergeCell ref="S6:T7"/>
    <mergeCell ref="U8:V8"/>
    <mergeCell ref="U9:V9"/>
    <mergeCell ref="U10:V10"/>
    <mergeCell ref="U11:V11"/>
    <mergeCell ref="U6:V7"/>
    <mergeCell ref="S8:T8"/>
    <mergeCell ref="S12:V15"/>
    <mergeCell ref="C19:D19"/>
    <mergeCell ref="E19:F19"/>
    <mergeCell ref="G19:H19"/>
    <mergeCell ref="I19:J19"/>
    <mergeCell ref="K19:L19"/>
    <mergeCell ref="T17:W17"/>
    <mergeCell ref="O12:P13"/>
    <mergeCell ref="O14:P15"/>
    <mergeCell ref="T18:U18"/>
    <mergeCell ref="T19:U19"/>
    <mergeCell ref="H14:I15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B742F-BED4-4E2D-8AA0-FC790C73E961}">
  <sheetPr codeName="Sheet2"/>
  <dimension ref="A1:T30"/>
  <sheetViews>
    <sheetView workbookViewId="0">
      <selection activeCell="N31" sqref="N31"/>
    </sheetView>
  </sheetViews>
  <sheetFormatPr defaultRowHeight="15" x14ac:dyDescent="0.25"/>
  <cols>
    <col min="1" max="1" width="10.28515625" customWidth="1"/>
    <col min="2" max="2" width="9.7109375" customWidth="1"/>
    <col min="3" max="3" width="10.85546875" customWidth="1"/>
    <col min="4" max="5" width="8.28515625" customWidth="1"/>
    <col min="6" max="6" width="9" customWidth="1"/>
    <col min="7" max="7" width="8.140625" customWidth="1"/>
    <col min="8" max="8" width="9.85546875" customWidth="1"/>
    <col min="9" max="10" width="8.28515625" customWidth="1"/>
    <col min="14" max="14" width="8.85546875" customWidth="1"/>
  </cols>
  <sheetData>
    <row r="1" spans="1:20" x14ac:dyDescent="0.25">
      <c r="A1" s="500" t="s">
        <v>51</v>
      </c>
      <c r="B1" s="500"/>
      <c r="C1" s="500"/>
      <c r="D1" s="500"/>
    </row>
    <row r="2" spans="1:20" x14ac:dyDescent="0.25">
      <c r="A2" s="509" t="s">
        <v>443</v>
      </c>
      <c r="B2" s="509"/>
      <c r="C2" s="509"/>
      <c r="D2" s="509"/>
    </row>
    <row r="3" spans="1:20" x14ac:dyDescent="0.25">
      <c r="A3" s="522" t="s">
        <v>444</v>
      </c>
      <c r="B3" s="522"/>
      <c r="C3" s="522"/>
      <c r="D3" s="522"/>
    </row>
    <row r="5" spans="1:20" x14ac:dyDescent="0.25">
      <c r="A5" s="460" t="s">
        <v>34</v>
      </c>
      <c r="B5" s="460"/>
      <c r="C5" s="460" t="s">
        <v>33</v>
      </c>
      <c r="D5" s="460"/>
      <c r="E5" s="460" t="s">
        <v>32</v>
      </c>
      <c r="F5" s="460"/>
      <c r="G5" s="460"/>
      <c r="H5" s="460" t="s">
        <v>31</v>
      </c>
      <c r="I5" s="460"/>
      <c r="J5" s="460" t="s">
        <v>30</v>
      </c>
      <c r="K5" s="460"/>
      <c r="L5" s="460"/>
      <c r="M5" s="460"/>
      <c r="N5" s="460" t="s">
        <v>29</v>
      </c>
      <c r="O5" s="460"/>
      <c r="P5" s="460"/>
      <c r="Q5" s="460" t="s">
        <v>28</v>
      </c>
      <c r="R5" s="460"/>
      <c r="S5" s="460" t="s">
        <v>71</v>
      </c>
      <c r="T5" s="460"/>
    </row>
    <row r="6" spans="1:20" x14ac:dyDescent="0.25">
      <c r="A6" s="381" t="s">
        <v>27</v>
      </c>
      <c r="B6" s="381"/>
      <c r="C6" s="381">
        <v>6</v>
      </c>
      <c r="D6" s="381"/>
      <c r="E6" s="381" t="s">
        <v>24</v>
      </c>
      <c r="F6" s="381"/>
      <c r="G6" s="381"/>
      <c r="H6" s="381">
        <v>8</v>
      </c>
      <c r="I6" s="381"/>
      <c r="J6" s="524">
        <f>((1/2)*C6)+((1/8)*H6)</f>
        <v>4</v>
      </c>
      <c r="K6" s="524"/>
      <c r="L6" s="524"/>
      <c r="M6" s="524"/>
      <c r="N6" s="524">
        <f>(2*SQRT(2)*C12)</f>
        <v>412.95036021294379</v>
      </c>
      <c r="O6" s="524"/>
      <c r="P6" s="524"/>
      <c r="Q6" s="524">
        <f>N6^3</f>
        <v>70419599.026392892</v>
      </c>
      <c r="R6" s="524"/>
      <c r="S6" s="537">
        <f>($C$13/Q6)*100</f>
        <v>37.02402448465304</v>
      </c>
      <c r="T6" s="537"/>
    </row>
    <row r="7" spans="1:20" x14ac:dyDescent="0.25">
      <c r="A7" s="381" t="s">
        <v>26</v>
      </c>
      <c r="B7" s="381"/>
      <c r="C7" s="381" t="s">
        <v>24</v>
      </c>
      <c r="D7" s="381"/>
      <c r="E7" s="381">
        <v>1</v>
      </c>
      <c r="F7" s="381"/>
      <c r="G7" s="381"/>
      <c r="H7" s="381">
        <v>8</v>
      </c>
      <c r="I7" s="381"/>
      <c r="J7" s="524">
        <f>E7+((1/8)*H7)</f>
        <v>2</v>
      </c>
      <c r="K7" s="524"/>
      <c r="L7" s="524"/>
      <c r="M7" s="524"/>
      <c r="N7" s="524">
        <f>(4/SQRT(3))*C12</f>
        <v>337.17255720674149</v>
      </c>
      <c r="O7" s="524"/>
      <c r="P7" s="524"/>
      <c r="Q7" s="524">
        <f>N7^3</f>
        <v>38331574.556900814</v>
      </c>
      <c r="R7" s="524"/>
      <c r="S7" s="537">
        <f>($C$13/Q7)*100</f>
        <v>68.017476158783154</v>
      </c>
      <c r="T7" s="537"/>
    </row>
    <row r="8" spans="1:20" x14ac:dyDescent="0.25">
      <c r="A8" s="381" t="s">
        <v>25</v>
      </c>
      <c r="B8" s="381"/>
      <c r="C8" s="381" t="s">
        <v>24</v>
      </c>
      <c r="D8" s="381"/>
      <c r="E8" s="381" t="s">
        <v>24</v>
      </c>
      <c r="F8" s="381"/>
      <c r="G8" s="381"/>
      <c r="H8" s="381">
        <v>8</v>
      </c>
      <c r="I8" s="381"/>
      <c r="J8" s="524">
        <f>(1/8)*H8</f>
        <v>1</v>
      </c>
      <c r="K8" s="524"/>
      <c r="L8" s="524"/>
      <c r="M8" s="524"/>
      <c r="N8" s="524">
        <f>2*C12</f>
        <v>292</v>
      </c>
      <c r="O8" s="524"/>
      <c r="P8" s="524"/>
      <c r="Q8" s="524">
        <f>N8^3</f>
        <v>24897088</v>
      </c>
      <c r="R8" s="524"/>
      <c r="S8" s="537">
        <f>($C$13/Q8)*100</f>
        <v>104.71975511965977</v>
      </c>
      <c r="T8" s="537"/>
    </row>
    <row r="10" spans="1:20" x14ac:dyDescent="0.25">
      <c r="A10" s="523" t="s">
        <v>82</v>
      </c>
      <c r="B10" s="523"/>
      <c r="C10" s="523"/>
    </row>
    <row r="11" spans="1:20" x14ac:dyDescent="0.25">
      <c r="A11" s="381" t="s">
        <v>23</v>
      </c>
      <c r="B11" s="381"/>
      <c r="C11" s="3">
        <v>2</v>
      </c>
    </row>
    <row r="12" spans="1:20" ht="15.75" thickBot="1" x14ac:dyDescent="0.3">
      <c r="A12" s="381" t="s">
        <v>22</v>
      </c>
      <c r="B12" s="381"/>
      <c r="C12" s="1">
        <v>146</v>
      </c>
      <c r="E12" s="4"/>
    </row>
    <row r="13" spans="1:20" ht="18" thickBot="1" x14ac:dyDescent="0.3">
      <c r="A13" s="381" t="s">
        <v>21</v>
      </c>
      <c r="B13" s="381"/>
      <c r="C13" s="3">
        <f>C11*(4/3)*PI()*(C12^3)</f>
        <v>26072169.585526198</v>
      </c>
      <c r="J13" s="27"/>
      <c r="K13" s="27"/>
      <c r="M13" s="342" t="s">
        <v>1391</v>
      </c>
      <c r="N13" s="343"/>
      <c r="O13" s="343"/>
      <c r="P13" s="344"/>
    </row>
    <row r="14" spans="1:20" x14ac:dyDescent="0.25">
      <c r="J14" s="27"/>
      <c r="K14" s="27"/>
      <c r="M14" s="421" t="s">
        <v>1384</v>
      </c>
      <c r="N14" s="422"/>
      <c r="O14" s="422" t="s">
        <v>1388</v>
      </c>
      <c r="P14" s="540"/>
    </row>
    <row r="15" spans="1:20" x14ac:dyDescent="0.25">
      <c r="J15" s="27"/>
      <c r="K15" s="27"/>
      <c r="M15" s="17" t="s">
        <v>1385</v>
      </c>
      <c r="N15" s="1">
        <v>8</v>
      </c>
      <c r="O15" s="21" t="s">
        <v>1385</v>
      </c>
      <c r="P15" s="19">
        <v>8</v>
      </c>
    </row>
    <row r="16" spans="1:20" ht="18" x14ac:dyDescent="0.35">
      <c r="A16" s="523" t="s">
        <v>45</v>
      </c>
      <c r="B16" s="523"/>
      <c r="C16" s="523"/>
      <c r="D16" s="523"/>
      <c r="E16" s="523"/>
      <c r="F16" s="523"/>
      <c r="G16" s="523"/>
      <c r="J16" s="27"/>
      <c r="K16" s="27"/>
      <c r="M16" s="17" t="s">
        <v>1386</v>
      </c>
      <c r="N16" s="21">
        <f>1/8</f>
        <v>0.125</v>
      </c>
      <c r="O16" s="21" t="s">
        <v>1386</v>
      </c>
      <c r="P16" s="24">
        <v>0.25</v>
      </c>
    </row>
    <row r="17" spans="1:17" x14ac:dyDescent="0.25">
      <c r="A17" s="523" t="s">
        <v>35</v>
      </c>
      <c r="B17" s="523"/>
      <c r="C17" s="523"/>
      <c r="D17" s="460" t="s">
        <v>37</v>
      </c>
      <c r="E17" s="460"/>
      <c r="F17" s="460" t="s">
        <v>36</v>
      </c>
      <c r="G17" s="460"/>
      <c r="J17" s="27"/>
      <c r="K17" s="27"/>
      <c r="M17" s="17" t="s">
        <v>1387</v>
      </c>
      <c r="N17" s="6">
        <f>PRODUCT(N15:N16)</f>
        <v>1</v>
      </c>
      <c r="O17" s="21" t="s">
        <v>1387</v>
      </c>
      <c r="P17" s="11">
        <f>PRODUCT(P15:P16)</f>
        <v>2</v>
      </c>
    </row>
    <row r="18" spans="1:17" ht="15.75" thickBot="1" x14ac:dyDescent="0.3">
      <c r="A18" s="367" t="s">
        <v>34</v>
      </c>
      <c r="B18" s="367"/>
      <c r="C18" s="367"/>
      <c r="D18" s="500" t="s">
        <v>26</v>
      </c>
      <c r="E18" s="500"/>
      <c r="F18" s="381" t="s">
        <v>39</v>
      </c>
      <c r="G18" s="381"/>
      <c r="J18" s="27"/>
      <c r="K18" s="27"/>
      <c r="M18" s="539" t="s">
        <v>1389</v>
      </c>
      <c r="N18" s="523"/>
      <c r="O18" s="523" t="s">
        <v>1390</v>
      </c>
      <c r="P18" s="541"/>
    </row>
    <row r="19" spans="1:17" ht="15.75" thickBot="1" x14ac:dyDescent="0.3">
      <c r="A19" s="536" t="s">
        <v>41</v>
      </c>
      <c r="B19" s="536"/>
      <c r="C19" s="536"/>
      <c r="D19" s="509">
        <f>IF(D18="fcc",4,IF(D18="bcc",2,IF(D18="scc",1)))</f>
        <v>2</v>
      </c>
      <c r="E19" s="509"/>
      <c r="F19" s="381"/>
      <c r="G19" s="381"/>
      <c r="I19" s="375" t="s">
        <v>1397</v>
      </c>
      <c r="J19" s="376"/>
      <c r="K19" s="377"/>
      <c r="M19" s="17" t="s">
        <v>1385</v>
      </c>
      <c r="N19" s="1">
        <v>2</v>
      </c>
      <c r="O19" s="21" t="s">
        <v>1385</v>
      </c>
      <c r="P19" s="19">
        <v>0</v>
      </c>
    </row>
    <row r="20" spans="1:17" ht="18" x14ac:dyDescent="0.35">
      <c r="A20" s="367" t="s">
        <v>42</v>
      </c>
      <c r="B20" s="367"/>
      <c r="C20" s="367"/>
      <c r="D20" s="381">
        <f>(6.02214*10^23)</f>
        <v>6.0221399999999997E+23</v>
      </c>
      <c r="E20" s="381"/>
      <c r="F20" s="528">
        <f>((D22*((D21^3))/(D19))*D20)</f>
        <v>180.16768961235005</v>
      </c>
      <c r="G20" s="528"/>
      <c r="I20" s="378" t="s">
        <v>1395</v>
      </c>
      <c r="J20" s="379"/>
      <c r="K20" s="468"/>
      <c r="M20" s="17" t="s">
        <v>1386</v>
      </c>
      <c r="N20" s="21">
        <v>0.5</v>
      </c>
      <c r="O20" s="21" t="s">
        <v>1386</v>
      </c>
      <c r="P20" s="24">
        <v>1</v>
      </c>
    </row>
    <row r="21" spans="1:17" ht="15.75" thickBot="1" x14ac:dyDescent="0.3">
      <c r="A21" s="367" t="s">
        <v>40</v>
      </c>
      <c r="B21" s="367"/>
      <c r="C21" s="367"/>
      <c r="D21" s="500">
        <f>330*10^-10</f>
        <v>3.3000000000000004E-8</v>
      </c>
      <c r="E21" s="500"/>
      <c r="F21" s="528"/>
      <c r="G21" s="528"/>
      <c r="I21" s="384" t="s">
        <v>1396</v>
      </c>
      <c r="J21" s="385"/>
      <c r="K21" s="494"/>
      <c r="M21" s="15" t="s">
        <v>1387</v>
      </c>
      <c r="N21" s="12">
        <f>PRODUCT(N19:N20)</f>
        <v>1</v>
      </c>
      <c r="O21" s="16" t="s">
        <v>1387</v>
      </c>
      <c r="P21" s="332">
        <f>PRODUCT(P19:P20)</f>
        <v>0</v>
      </c>
    </row>
    <row r="22" spans="1:17" ht="15.75" thickBot="1" x14ac:dyDescent="0.3">
      <c r="A22" s="367" t="s">
        <v>44</v>
      </c>
      <c r="B22" s="367"/>
      <c r="C22" s="367"/>
      <c r="D22" s="500">
        <v>16.649999999999999</v>
      </c>
      <c r="E22" s="500"/>
      <c r="F22" s="527">
        <f>F20</f>
        <v>180.16768961235005</v>
      </c>
      <c r="G22" s="527"/>
      <c r="J22" s="27"/>
      <c r="K22" s="27"/>
    </row>
    <row r="23" spans="1:17" ht="15.75" thickBot="1" x14ac:dyDescent="0.3">
      <c r="J23" s="27"/>
      <c r="K23" s="27"/>
      <c r="M23" s="375" t="s">
        <v>1392</v>
      </c>
      <c r="N23" s="376"/>
      <c r="O23" s="376"/>
      <c r="P23" s="376"/>
      <c r="Q23" s="377"/>
    </row>
    <row r="24" spans="1:17" ht="18" x14ac:dyDescent="0.25">
      <c r="A24" s="460" t="s">
        <v>46</v>
      </c>
      <c r="B24" s="460"/>
      <c r="C24" s="460"/>
      <c r="D24" s="460"/>
      <c r="E24" s="460"/>
      <c r="F24" s="460"/>
      <c r="G24" s="460"/>
      <c r="J24" s="27"/>
      <c r="K24" s="27"/>
      <c r="M24" s="521" t="s">
        <v>35</v>
      </c>
      <c r="N24" s="520"/>
      <c r="O24" s="313" t="s">
        <v>55</v>
      </c>
      <c r="P24" s="520" t="s">
        <v>36</v>
      </c>
      <c r="Q24" s="538"/>
    </row>
    <row r="25" spans="1:17" x14ac:dyDescent="0.25">
      <c r="A25" s="460" t="s">
        <v>35</v>
      </c>
      <c r="B25" s="460"/>
      <c r="C25" s="460"/>
      <c r="D25" s="460" t="s">
        <v>37</v>
      </c>
      <c r="E25" s="460"/>
      <c r="F25" s="460" t="s">
        <v>36</v>
      </c>
      <c r="G25" s="460"/>
      <c r="J25" s="27"/>
      <c r="K25" s="27"/>
      <c r="M25" s="380" t="s">
        <v>34</v>
      </c>
      <c r="N25" s="381"/>
      <c r="O25" s="316" t="s">
        <v>26</v>
      </c>
      <c r="P25" s="381" t="str">
        <f>IF(NOT(ISNUMBER(O27)),"Lattice Constant a",IF(NOT(ISNUMBER(O26)),"Radius R","Check Inputs"))</f>
        <v>Radius R</v>
      </c>
      <c r="Q25" s="490"/>
    </row>
    <row r="26" spans="1:17" x14ac:dyDescent="0.25">
      <c r="A26" s="381" t="s">
        <v>34</v>
      </c>
      <c r="B26" s="381"/>
      <c r="C26" s="381"/>
      <c r="D26" s="500" t="s">
        <v>27</v>
      </c>
      <c r="E26" s="500"/>
      <c r="F26" s="381" t="s">
        <v>38</v>
      </c>
      <c r="G26" s="381"/>
      <c r="J26" s="27"/>
      <c r="K26" s="27"/>
      <c r="M26" s="380" t="s">
        <v>1393</v>
      </c>
      <c r="N26" s="381"/>
      <c r="O26" s="316"/>
      <c r="P26" s="504">
        <f>IF(AND(NOT(ISNUMBER(O27)),O25="bcc"),
         (4/SQRT(3))*O26,
   IF(AND(NOT(ISNUMBER(O27)),O25="fcc"),
        2*SQRT(2)*O26,
IF(AND(NOT(ISNUMBER(O26)),O25="bcc"),
         (SQRT(3)/4)*O27,
IF(AND(NOT(ISNUMBER(O26)),O25="fcc"),
(1/(2*SQRT(2)))*O27,
"Check Inputs"))))</f>
        <v>135.96598839415685</v>
      </c>
      <c r="Q26" s="505"/>
    </row>
    <row r="27" spans="1:17" ht="15.75" thickBot="1" x14ac:dyDescent="0.3">
      <c r="A27" s="535" t="s">
        <v>41</v>
      </c>
      <c r="B27" s="535"/>
      <c r="C27" s="535"/>
      <c r="D27" s="509">
        <f>IF(D26="fcc",4,IF(D26="bcc",2,IF(D26="scc",1)))</f>
        <v>4</v>
      </c>
      <c r="E27" s="509"/>
      <c r="F27" s="381"/>
      <c r="G27" s="381"/>
      <c r="J27" s="27"/>
      <c r="K27" s="27"/>
      <c r="M27" s="384" t="s">
        <v>1394</v>
      </c>
      <c r="N27" s="385"/>
      <c r="O27" s="317">
        <v>314</v>
      </c>
      <c r="P27" s="525">
        <f>P26</f>
        <v>135.96598839415685</v>
      </c>
      <c r="Q27" s="526"/>
    </row>
    <row r="28" spans="1:17" ht="18" x14ac:dyDescent="0.25">
      <c r="A28" s="381" t="s">
        <v>42</v>
      </c>
      <c r="B28" s="381"/>
      <c r="C28" s="381"/>
      <c r="D28" s="381">
        <f>(6.02214*10^23)</f>
        <v>6.0221399999999997E+23</v>
      </c>
      <c r="E28" s="381"/>
      <c r="F28" s="531">
        <f>(D27*(D30/D28))/(D29^3)</f>
        <v>1.0552754780528066</v>
      </c>
      <c r="G28" s="532"/>
    </row>
    <row r="29" spans="1:17" x14ac:dyDescent="0.25">
      <c r="A29" s="381" t="s">
        <v>40</v>
      </c>
      <c r="B29" s="381"/>
      <c r="C29" s="381"/>
      <c r="D29" s="500">
        <f>525*10^-10</f>
        <v>5.25E-8</v>
      </c>
      <c r="E29" s="500"/>
      <c r="F29" s="533"/>
      <c r="G29" s="534"/>
    </row>
    <row r="30" spans="1:17" x14ac:dyDescent="0.25">
      <c r="A30" s="381" t="s">
        <v>43</v>
      </c>
      <c r="B30" s="381"/>
      <c r="C30" s="381"/>
      <c r="D30" s="500">
        <f>Na</f>
        <v>22.989769280000001</v>
      </c>
      <c r="E30" s="500"/>
      <c r="F30" s="529">
        <f>F28</f>
        <v>1.0552754780528066</v>
      </c>
      <c r="G30" s="530"/>
    </row>
  </sheetData>
  <mergeCells count="90">
    <mergeCell ref="E5:G5"/>
    <mergeCell ref="E6:G6"/>
    <mergeCell ref="E7:G7"/>
    <mergeCell ref="E8:G8"/>
    <mergeCell ref="C5:D5"/>
    <mergeCell ref="C6:D6"/>
    <mergeCell ref="S5:T5"/>
    <mergeCell ref="S6:T6"/>
    <mergeCell ref="S7:T7"/>
    <mergeCell ref="S8:T8"/>
    <mergeCell ref="M25:N25"/>
    <mergeCell ref="M23:Q23"/>
    <mergeCell ref="M24:N24"/>
    <mergeCell ref="P24:Q24"/>
    <mergeCell ref="P25:Q25"/>
    <mergeCell ref="M14:N14"/>
    <mergeCell ref="M18:N18"/>
    <mergeCell ref="O14:P14"/>
    <mergeCell ref="O18:P18"/>
    <mergeCell ref="M13:P13"/>
    <mergeCell ref="Q5:R5"/>
    <mergeCell ref="Q6:R6"/>
    <mergeCell ref="Q7:R7"/>
    <mergeCell ref="Q8:R8"/>
    <mergeCell ref="N5:P5"/>
    <mergeCell ref="N6:P6"/>
    <mergeCell ref="N7:P7"/>
    <mergeCell ref="N8:P8"/>
    <mergeCell ref="J8:M8"/>
    <mergeCell ref="H5:I5"/>
    <mergeCell ref="H6:I6"/>
    <mergeCell ref="H7:I7"/>
    <mergeCell ref="H8:I8"/>
    <mergeCell ref="A21:C21"/>
    <mergeCell ref="A10:C10"/>
    <mergeCell ref="A11:B11"/>
    <mergeCell ref="A12:B12"/>
    <mergeCell ref="A13:B13"/>
    <mergeCell ref="A25:C25"/>
    <mergeCell ref="A24:G24"/>
    <mergeCell ref="D25:E25"/>
    <mergeCell ref="F25:G25"/>
    <mergeCell ref="F17:G17"/>
    <mergeCell ref="A22:C22"/>
    <mergeCell ref="D17:E17"/>
    <mergeCell ref="D18:E18"/>
    <mergeCell ref="D19:E19"/>
    <mergeCell ref="D20:E20"/>
    <mergeCell ref="D21:E21"/>
    <mergeCell ref="D22:E22"/>
    <mergeCell ref="A17:C17"/>
    <mergeCell ref="A18:C18"/>
    <mergeCell ref="A19:C19"/>
    <mergeCell ref="A20:C20"/>
    <mergeCell ref="A26:C26"/>
    <mergeCell ref="A27:C27"/>
    <mergeCell ref="A28:C28"/>
    <mergeCell ref="A29:C29"/>
    <mergeCell ref="A30:C30"/>
    <mergeCell ref="F30:G30"/>
    <mergeCell ref="F26:G27"/>
    <mergeCell ref="F28:G29"/>
    <mergeCell ref="D26:E26"/>
    <mergeCell ref="D27:E27"/>
    <mergeCell ref="D28:E28"/>
    <mergeCell ref="D29:E29"/>
    <mergeCell ref="D30:E30"/>
    <mergeCell ref="I21:K21"/>
    <mergeCell ref="P27:Q27"/>
    <mergeCell ref="M27:N27"/>
    <mergeCell ref="F22:G22"/>
    <mergeCell ref="F20:G21"/>
    <mergeCell ref="M26:N26"/>
    <mergeCell ref="P26:Q26"/>
    <mergeCell ref="A1:D1"/>
    <mergeCell ref="A2:D2"/>
    <mergeCell ref="A3:D3"/>
    <mergeCell ref="I19:K19"/>
    <mergeCell ref="I20:K20"/>
    <mergeCell ref="A16:G16"/>
    <mergeCell ref="F18:G19"/>
    <mergeCell ref="C7:D7"/>
    <mergeCell ref="C8:D8"/>
    <mergeCell ref="A5:B5"/>
    <mergeCell ref="A6:B6"/>
    <mergeCell ref="A7:B7"/>
    <mergeCell ref="A8:B8"/>
    <mergeCell ref="J5:M5"/>
    <mergeCell ref="J6:M6"/>
    <mergeCell ref="J7:M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3D23D-6E7F-448B-996C-2BCF3F316066}">
  <sheetPr codeName="Sheet3"/>
  <dimension ref="A1:Z52"/>
  <sheetViews>
    <sheetView topLeftCell="A19" workbookViewId="0">
      <selection activeCell="S7" sqref="S7"/>
    </sheetView>
  </sheetViews>
  <sheetFormatPr defaultRowHeight="15" x14ac:dyDescent="0.25"/>
  <cols>
    <col min="1" max="3" width="9.140625" style="27"/>
    <col min="4" max="4" width="12" customWidth="1"/>
    <col min="5" max="5" width="10.28515625" customWidth="1"/>
    <col min="7" max="7" width="9.85546875" customWidth="1"/>
    <col min="8" max="8" width="11" customWidth="1"/>
    <col min="10" max="10" width="8.7109375" customWidth="1"/>
    <col min="14" max="14" width="12.28515625" bestFit="1" customWidth="1"/>
    <col min="19" max="19" width="8.5703125" customWidth="1"/>
    <col min="20" max="20" width="12" bestFit="1" customWidth="1"/>
  </cols>
  <sheetData>
    <row r="1" spans="1:26" x14ac:dyDescent="0.25">
      <c r="A1" s="463" t="s">
        <v>51</v>
      </c>
      <c r="B1" s="463"/>
      <c r="C1" s="463"/>
      <c r="D1" s="463"/>
      <c r="E1" s="463"/>
      <c r="F1" s="30"/>
      <c r="G1" s="23"/>
    </row>
    <row r="2" spans="1:26" x14ac:dyDescent="0.25">
      <c r="A2" s="524" t="s">
        <v>443</v>
      </c>
      <c r="B2" s="524"/>
      <c r="C2" s="524"/>
      <c r="D2" s="524"/>
      <c r="E2" s="524"/>
      <c r="F2" s="30"/>
      <c r="G2" s="23"/>
    </row>
    <row r="3" spans="1:26" x14ac:dyDescent="0.25">
      <c r="A3" s="442" t="s">
        <v>445</v>
      </c>
      <c r="B3" s="442"/>
      <c r="C3" s="442"/>
      <c r="D3" s="442"/>
      <c r="E3" s="442"/>
      <c r="F3" s="30"/>
      <c r="G3" s="23"/>
      <c r="H3">
        <v>0.63157890000000005</v>
      </c>
    </row>
    <row r="4" spans="1:26" s="27" customFormat="1" ht="15.75" thickBot="1" x14ac:dyDescent="0.3">
      <c r="D4" s="68"/>
      <c r="E4" s="68"/>
      <c r="F4" s="68"/>
      <c r="G4" s="4"/>
    </row>
    <row r="5" spans="1:26" s="27" customFormat="1" ht="15.75" thickBot="1" x14ac:dyDescent="0.3">
      <c r="A5" s="342" t="s">
        <v>326</v>
      </c>
      <c r="B5" s="343"/>
      <c r="C5" s="343"/>
      <c r="D5" s="343"/>
      <c r="E5" s="343"/>
      <c r="F5" s="343"/>
      <c r="G5" s="343"/>
      <c r="H5" s="344"/>
      <c r="K5" s="388" t="s">
        <v>65</v>
      </c>
      <c r="L5" s="389"/>
      <c r="M5" s="389"/>
      <c r="N5" s="389"/>
      <c r="O5" s="390"/>
      <c r="P5"/>
      <c r="Q5"/>
      <c r="T5"/>
      <c r="U5"/>
      <c r="V5"/>
      <c r="W5"/>
      <c r="X5"/>
      <c r="Y5"/>
      <c r="Z5"/>
    </row>
    <row r="6" spans="1:26" s="27" customFormat="1" x14ac:dyDescent="0.25">
      <c r="A6" s="521" t="s">
        <v>35</v>
      </c>
      <c r="B6" s="520"/>
      <c r="C6" s="520"/>
      <c r="D6" s="520"/>
      <c r="E6" s="520" t="s">
        <v>327</v>
      </c>
      <c r="F6" s="520"/>
      <c r="G6" s="520"/>
      <c r="H6" s="284" t="s">
        <v>36</v>
      </c>
      <c r="K6" s="18" t="s">
        <v>57</v>
      </c>
      <c r="L6" s="5">
        <v>45000</v>
      </c>
      <c r="M6" s="7">
        <f>M7*1000</f>
        <v>125000</v>
      </c>
      <c r="N6" s="7">
        <f>N8/4.184</f>
        <v>0.23900573613766729</v>
      </c>
      <c r="O6" s="10">
        <f>O8/4.184</f>
        <v>224904.39770554492</v>
      </c>
      <c r="P6"/>
    </row>
    <row r="7" spans="1:26" s="27" customFormat="1" x14ac:dyDescent="0.25">
      <c r="A7" s="380" t="s">
        <v>476</v>
      </c>
      <c r="B7" s="381"/>
      <c r="C7" s="381"/>
      <c r="D7" s="381"/>
      <c r="E7" s="603">
        <v>3000</v>
      </c>
      <c r="F7" s="555"/>
      <c r="G7" s="549" t="str">
        <f>IF(NOT(ISNUMBER(E7)),"q",IF(NOT(ISNUMBER(E8)),"c", IF(NOT(ISNUMBER(E9)),"m", IF(NOT(ISNUMBER(E10)),"ΔT","Check Inputs"))))</f>
        <v>c</v>
      </c>
      <c r="H7" s="559"/>
      <c r="K7" s="17" t="s">
        <v>60</v>
      </c>
      <c r="L7" s="6">
        <f>L6*0.001</f>
        <v>45</v>
      </c>
      <c r="M7" s="1">
        <v>125</v>
      </c>
      <c r="N7" s="6">
        <f>N9/4.184</f>
        <v>2.390057361376673E-4</v>
      </c>
      <c r="O7" s="11">
        <f>O9/4.184</f>
        <v>224.90439770554494</v>
      </c>
      <c r="P7"/>
    </row>
    <row r="8" spans="1:26" s="27" customFormat="1" x14ac:dyDescent="0.25">
      <c r="A8" s="380" t="s">
        <v>96</v>
      </c>
      <c r="B8" s="381"/>
      <c r="C8" s="381"/>
      <c r="D8" s="381"/>
      <c r="E8" s="554"/>
      <c r="F8" s="555"/>
      <c r="G8" s="560">
        <f>IF(NOT(ISNUMBER(E7)),E8*E9*E10,
IF(NOT(ISNUMBER(E8)),E7/(E9*E10),
IF(NOT(ISNUMBER(E9)),E7/(E8*E10),
IF(NOT(ISNUMBER(E10)),E7/(E8*E9),
"Check Inputs"))))</f>
        <v>0.63157894736842102</v>
      </c>
      <c r="H8" s="563" t="str">
        <f>IF(NOT(ISNUMBER(E7)),"J",
IF(NOT(ISNUMBER(E8)),"J/g˚C",
 IF(NOT(ISNUMBER(E9)),"g",
IF(NOT(ISNUMBER(E10)),"˚C",
"Check Inputs"))))</f>
        <v>J/g˚C</v>
      </c>
      <c r="K8" s="17" t="s">
        <v>58</v>
      </c>
      <c r="L8" s="6">
        <f>L6*4.184</f>
        <v>188280</v>
      </c>
      <c r="M8" s="6">
        <f>M6*4.184</f>
        <v>523000</v>
      </c>
      <c r="N8" s="1">
        <v>1</v>
      </c>
      <c r="O8" s="11">
        <f>O9*1000</f>
        <v>941000</v>
      </c>
      <c r="P8"/>
      <c r="Q8"/>
    </row>
    <row r="9" spans="1:26" s="27" customFormat="1" ht="15.75" thickBot="1" x14ac:dyDescent="0.3">
      <c r="A9" s="380" t="s">
        <v>93</v>
      </c>
      <c r="B9" s="381"/>
      <c r="C9" s="381"/>
      <c r="D9" s="381"/>
      <c r="E9" s="554">
        <v>250</v>
      </c>
      <c r="F9" s="555"/>
      <c r="G9" s="561"/>
      <c r="H9" s="564"/>
      <c r="K9" s="15" t="s">
        <v>59</v>
      </c>
      <c r="L9" s="12">
        <f>L7*4.184</f>
        <v>188.28</v>
      </c>
      <c r="M9" s="12">
        <f>M7*4.184</f>
        <v>523</v>
      </c>
      <c r="N9" s="12">
        <f>N8*0.001</f>
        <v>1E-3</v>
      </c>
      <c r="O9" s="13">
        <v>941</v>
      </c>
      <c r="P9"/>
      <c r="Q9"/>
    </row>
    <row r="10" spans="1:26" s="27" customFormat="1" ht="15.75" thickBot="1" x14ac:dyDescent="0.3">
      <c r="A10" s="604" t="s">
        <v>94</v>
      </c>
      <c r="B10" s="605"/>
      <c r="C10" s="605"/>
      <c r="D10" s="605"/>
      <c r="E10" s="556">
        <v>19</v>
      </c>
      <c r="F10" s="557"/>
      <c r="G10" s="562"/>
      <c r="H10" s="565"/>
    </row>
    <row r="11" spans="1:26" s="27" customFormat="1" ht="15.75" thickBot="1" x14ac:dyDescent="0.3">
      <c r="C11" s="23"/>
      <c r="D11" s="78"/>
      <c r="E11" s="71"/>
      <c r="F11" s="71"/>
      <c r="G11" s="71"/>
      <c r="H11" s="71"/>
      <c r="K11" s="388" t="s">
        <v>62</v>
      </c>
      <c r="L11" s="389"/>
      <c r="M11" s="389"/>
      <c r="N11" s="389"/>
      <c r="O11" s="389"/>
      <c r="P11" s="389"/>
      <c r="Q11" s="390"/>
      <c r="R11"/>
      <c r="S11"/>
      <c r="T11"/>
      <c r="U11"/>
    </row>
    <row r="12" spans="1:26" ht="15.75" thickBot="1" x14ac:dyDescent="0.3">
      <c r="A12" s="375" t="s">
        <v>64</v>
      </c>
      <c r="B12" s="376"/>
      <c r="C12" s="376"/>
      <c r="D12" s="376"/>
      <c r="E12" s="376"/>
      <c r="F12" s="376"/>
      <c r="G12" s="376"/>
      <c r="H12" s="377"/>
      <c r="K12" s="606"/>
      <c r="L12" s="607"/>
      <c r="M12" s="607"/>
      <c r="N12" s="607"/>
      <c r="O12" s="607"/>
      <c r="P12" s="607"/>
      <c r="Q12" s="608"/>
    </row>
    <row r="13" spans="1:26" x14ac:dyDescent="0.25">
      <c r="A13" s="421" t="s">
        <v>35</v>
      </c>
      <c r="B13" s="422"/>
      <c r="C13" s="422"/>
      <c r="D13" s="422"/>
      <c r="E13" s="14" t="s">
        <v>55</v>
      </c>
      <c r="F13" s="594" t="s">
        <v>36</v>
      </c>
      <c r="G13" s="594"/>
      <c r="H13" s="595"/>
      <c r="K13" s="609"/>
      <c r="L13" s="610"/>
      <c r="M13" s="610"/>
      <c r="N13" s="610"/>
      <c r="O13" s="610"/>
      <c r="P13" s="610"/>
      <c r="Q13" s="611"/>
      <c r="T13" s="27"/>
    </row>
    <row r="14" spans="1:26" x14ac:dyDescent="0.25">
      <c r="A14" s="366" t="s">
        <v>93</v>
      </c>
      <c r="B14" s="367"/>
      <c r="C14" s="367"/>
      <c r="D14" s="367"/>
      <c r="E14" s="1">
        <v>25.8</v>
      </c>
      <c r="F14" s="367" t="s">
        <v>477</v>
      </c>
      <c r="G14" s="367"/>
      <c r="H14" s="368"/>
      <c r="K14" s="609"/>
      <c r="L14" s="610"/>
      <c r="M14" s="610"/>
      <c r="N14" s="610"/>
      <c r="O14" s="610"/>
      <c r="P14" s="610"/>
      <c r="Q14" s="611"/>
    </row>
    <row r="15" spans="1:26" x14ac:dyDescent="0.25">
      <c r="A15" s="380" t="s">
        <v>61</v>
      </c>
      <c r="B15" s="381"/>
      <c r="C15" s="381"/>
      <c r="D15" s="381"/>
      <c r="E15" s="1">
        <v>5</v>
      </c>
      <c r="F15" s="509">
        <f>E14*E17*E18</f>
        <v>539.73599999999999</v>
      </c>
      <c r="G15" s="509"/>
      <c r="H15" s="615"/>
      <c r="K15" s="609"/>
      <c r="L15" s="610"/>
      <c r="M15" s="610"/>
      <c r="N15" s="610"/>
      <c r="O15" s="610"/>
      <c r="P15" s="610"/>
      <c r="Q15" s="611"/>
    </row>
    <row r="16" spans="1:26" x14ac:dyDescent="0.25">
      <c r="A16" s="366" t="s">
        <v>63</v>
      </c>
      <c r="B16" s="367"/>
      <c r="C16" s="367"/>
      <c r="D16" s="367"/>
      <c r="E16" s="1">
        <v>10</v>
      </c>
      <c r="F16" s="509"/>
      <c r="G16" s="509"/>
      <c r="H16" s="615"/>
      <c r="K16" s="609"/>
      <c r="L16" s="610"/>
      <c r="M16" s="610"/>
      <c r="N16" s="610"/>
      <c r="O16" s="610"/>
      <c r="P16" s="610"/>
      <c r="Q16" s="611"/>
    </row>
    <row r="17" spans="1:25" x14ac:dyDescent="0.25">
      <c r="A17" s="569" t="s">
        <v>94</v>
      </c>
      <c r="B17" s="570"/>
      <c r="C17" s="570"/>
      <c r="D17" s="570"/>
      <c r="E17" s="3">
        <f>E16-E15</f>
        <v>5</v>
      </c>
      <c r="F17" s="509"/>
      <c r="G17" s="509"/>
      <c r="H17" s="615"/>
      <c r="K17" s="609"/>
      <c r="L17" s="610"/>
      <c r="M17" s="610"/>
      <c r="N17" s="610"/>
      <c r="O17" s="610"/>
      <c r="P17" s="610"/>
      <c r="Q17" s="611"/>
    </row>
    <row r="18" spans="1:25" ht="15.75" thickBot="1" x14ac:dyDescent="0.3">
      <c r="A18" s="357" t="s">
        <v>95</v>
      </c>
      <c r="B18" s="358"/>
      <c r="C18" s="358"/>
      <c r="D18" s="358"/>
      <c r="E18" s="16">
        <v>4.1840000000000002</v>
      </c>
      <c r="F18" s="510"/>
      <c r="G18" s="510"/>
      <c r="H18" s="616"/>
      <c r="K18" s="609"/>
      <c r="L18" s="610"/>
      <c r="M18" s="610"/>
      <c r="N18" s="610"/>
      <c r="O18" s="610"/>
      <c r="P18" s="610"/>
      <c r="Q18" s="611"/>
      <c r="R18" s="8"/>
    </row>
    <row r="19" spans="1:25" ht="15.75" thickBot="1" x14ac:dyDescent="0.3">
      <c r="D19" s="4"/>
      <c r="E19" s="4"/>
      <c r="F19" s="4"/>
      <c r="G19" s="4"/>
      <c r="K19" s="609"/>
      <c r="L19" s="610"/>
      <c r="M19" s="610"/>
      <c r="N19" s="610"/>
      <c r="O19" s="610"/>
      <c r="P19" s="610"/>
      <c r="Q19" s="611"/>
      <c r="S19" s="542" t="s">
        <v>1367</v>
      </c>
      <c r="T19" s="542"/>
      <c r="U19" s="542"/>
      <c r="V19" s="542"/>
      <c r="W19" s="542"/>
      <c r="X19" s="542"/>
      <c r="Y19" s="542"/>
    </row>
    <row r="20" spans="1:25" ht="15.75" thickBot="1" x14ac:dyDescent="0.3">
      <c r="A20" s="342" t="s">
        <v>474</v>
      </c>
      <c r="B20" s="343"/>
      <c r="C20" s="343"/>
      <c r="D20" s="343"/>
      <c r="E20" s="343"/>
      <c r="F20" s="343"/>
      <c r="G20" s="343"/>
      <c r="H20" s="344"/>
      <c r="K20" s="609"/>
      <c r="L20" s="610"/>
      <c r="M20" s="610"/>
      <c r="N20" s="610"/>
      <c r="O20" s="610"/>
      <c r="P20" s="610"/>
      <c r="Q20" s="611"/>
      <c r="S20" s="367" t="s">
        <v>1354</v>
      </c>
      <c r="T20" s="367"/>
      <c r="U20" s="1">
        <v>-50</v>
      </c>
      <c r="V20" s="381" t="s">
        <v>1358</v>
      </c>
      <c r="W20" s="381"/>
      <c r="X20" s="381"/>
      <c r="Y20" s="3">
        <f>U22-U20</f>
        <v>45</v>
      </c>
    </row>
    <row r="21" spans="1:25" x14ac:dyDescent="0.25">
      <c r="A21" s="421" t="s">
        <v>35</v>
      </c>
      <c r="B21" s="422"/>
      <c r="C21" s="422"/>
      <c r="D21" s="422"/>
      <c r="E21" s="14" t="s">
        <v>55</v>
      </c>
      <c r="F21" s="594" t="s">
        <v>36</v>
      </c>
      <c r="G21" s="594"/>
      <c r="H21" s="595"/>
      <c r="K21" s="609"/>
      <c r="L21" s="610"/>
      <c r="M21" s="610"/>
      <c r="N21" s="610"/>
      <c r="O21" s="610"/>
      <c r="P21" s="610"/>
      <c r="Q21" s="611"/>
      <c r="S21" s="367" t="s">
        <v>1361</v>
      </c>
      <c r="T21" s="367"/>
      <c r="U21" s="1">
        <v>47</v>
      </c>
      <c r="V21" s="367" t="s">
        <v>1369</v>
      </c>
      <c r="W21" s="367"/>
      <c r="X21" s="367"/>
      <c r="Y21" s="6">
        <f>U20+Y20</f>
        <v>-5</v>
      </c>
    </row>
    <row r="22" spans="1:25" x14ac:dyDescent="0.25">
      <c r="A22" s="380" t="s">
        <v>93</v>
      </c>
      <c r="B22" s="381"/>
      <c r="C22" s="381"/>
      <c r="D22" s="381"/>
      <c r="E22" s="1">
        <v>155</v>
      </c>
      <c r="F22" s="570" t="s">
        <v>56</v>
      </c>
      <c r="G22" s="570"/>
      <c r="H22" s="558">
        <f>E25/(E26*E22)</f>
        <v>8.6352357320099244</v>
      </c>
      <c r="K22" s="609"/>
      <c r="L22" s="610"/>
      <c r="M22" s="610"/>
      <c r="N22" s="610"/>
      <c r="O22" s="610"/>
      <c r="P22" s="610"/>
      <c r="Q22" s="611"/>
      <c r="S22" s="367" t="s">
        <v>1355</v>
      </c>
      <c r="T22" s="367"/>
      <c r="U22" s="1">
        <v>-5</v>
      </c>
      <c r="V22" s="381" t="s">
        <v>1359</v>
      </c>
      <c r="W22" s="381"/>
      <c r="X22" s="381"/>
      <c r="Y22" s="6">
        <f>U21*Y20/1000</f>
        <v>2.1150000000000002</v>
      </c>
    </row>
    <row r="23" spans="1:25" x14ac:dyDescent="0.25">
      <c r="A23" s="380" t="s">
        <v>61</v>
      </c>
      <c r="B23" s="381"/>
      <c r="C23" s="381"/>
      <c r="D23" s="381"/>
      <c r="E23" s="41">
        <v>25</v>
      </c>
      <c r="F23" s="570"/>
      <c r="G23" s="570"/>
      <c r="H23" s="558"/>
      <c r="K23" s="609"/>
      <c r="L23" s="610"/>
      <c r="M23" s="610"/>
      <c r="N23" s="610"/>
      <c r="O23" s="610"/>
      <c r="P23" s="610"/>
      <c r="Q23" s="611"/>
      <c r="S23" s="542" t="s">
        <v>1368</v>
      </c>
      <c r="T23" s="542"/>
      <c r="U23" s="542"/>
      <c r="V23" s="542"/>
      <c r="W23" s="542"/>
      <c r="X23" s="542"/>
      <c r="Y23" s="542"/>
    </row>
    <row r="24" spans="1:25" ht="18" x14ac:dyDescent="0.35">
      <c r="A24" s="380" t="s">
        <v>63</v>
      </c>
      <c r="B24" s="381"/>
      <c r="C24" s="381"/>
      <c r="D24" s="381"/>
      <c r="E24" s="1"/>
      <c r="F24" s="381" t="s">
        <v>61</v>
      </c>
      <c r="G24" s="381"/>
      <c r="H24" s="79">
        <f>IF(E24&lt;&gt;"",E24-H22,E23)</f>
        <v>25</v>
      </c>
      <c r="K24" s="609"/>
      <c r="L24" s="610"/>
      <c r="M24" s="610"/>
      <c r="N24" s="610"/>
      <c r="O24" s="610"/>
      <c r="P24" s="610"/>
      <c r="Q24" s="611"/>
      <c r="S24" s="367" t="s">
        <v>1363</v>
      </c>
      <c r="T24" s="367"/>
      <c r="U24" s="1">
        <v>5</v>
      </c>
      <c r="V24" s="367" t="s">
        <v>1356</v>
      </c>
      <c r="W24" s="367"/>
      <c r="X24" s="367"/>
      <c r="Y24" s="3">
        <f>U24</f>
        <v>5</v>
      </c>
    </row>
    <row r="25" spans="1:25" x14ac:dyDescent="0.25">
      <c r="A25" s="380" t="s">
        <v>476</v>
      </c>
      <c r="B25" s="381"/>
      <c r="C25" s="381"/>
      <c r="D25" s="381"/>
      <c r="E25" s="1">
        <v>174</v>
      </c>
      <c r="F25" s="381" t="s">
        <v>63</v>
      </c>
      <c r="G25" s="381"/>
      <c r="H25" s="79">
        <f>IF(E23&lt;&gt;"",E23+H22,E24)</f>
        <v>33.635235732009924</v>
      </c>
      <c r="K25" s="609"/>
      <c r="L25" s="610"/>
      <c r="M25" s="610"/>
      <c r="N25" s="610"/>
      <c r="O25" s="610"/>
      <c r="P25" s="610"/>
      <c r="Q25" s="611"/>
      <c r="S25" s="367" t="s">
        <v>1357</v>
      </c>
      <c r="T25" s="367"/>
      <c r="U25" s="1">
        <v>35</v>
      </c>
      <c r="V25" s="381" t="s">
        <v>1359</v>
      </c>
      <c r="W25" s="381"/>
      <c r="X25" s="381"/>
      <c r="Y25" s="229">
        <f>Y22+U24</f>
        <v>7.1150000000000002</v>
      </c>
    </row>
    <row r="26" spans="1:25" ht="15.75" thickBot="1" x14ac:dyDescent="0.3">
      <c r="A26" s="384" t="s">
        <v>95</v>
      </c>
      <c r="B26" s="385"/>
      <c r="C26" s="385"/>
      <c r="D26" s="385"/>
      <c r="E26" s="2">
        <v>0.13</v>
      </c>
      <c r="F26" s="599"/>
      <c r="G26" s="599"/>
      <c r="H26" s="600"/>
      <c r="K26" s="609"/>
      <c r="L26" s="610"/>
      <c r="M26" s="610"/>
      <c r="N26" s="610"/>
      <c r="O26" s="610"/>
      <c r="P26" s="610"/>
      <c r="Q26" s="611"/>
      <c r="S26" s="542" t="s">
        <v>1344</v>
      </c>
      <c r="T26" s="542"/>
      <c r="U26" s="542"/>
      <c r="V26" s="542"/>
      <c r="W26" s="542"/>
      <c r="X26" s="542"/>
      <c r="Y26" s="542"/>
    </row>
    <row r="27" spans="1:25" ht="15.75" thickBot="1" x14ac:dyDescent="0.3">
      <c r="K27" s="609"/>
      <c r="L27" s="610"/>
      <c r="M27" s="610"/>
      <c r="N27" s="610"/>
      <c r="O27" s="610"/>
      <c r="P27" s="610"/>
      <c r="Q27" s="611"/>
      <c r="S27" s="367" t="s">
        <v>1360</v>
      </c>
      <c r="T27" s="367"/>
      <c r="U27" s="1">
        <v>57</v>
      </c>
      <c r="V27" s="429" t="s">
        <v>1358</v>
      </c>
      <c r="W27" s="431"/>
      <c r="X27" s="432"/>
      <c r="Y27" s="3">
        <f>U25-U22</f>
        <v>40</v>
      </c>
    </row>
    <row r="28" spans="1:25" ht="18.75" thickBot="1" x14ac:dyDescent="0.4">
      <c r="A28" s="342" t="s">
        <v>475</v>
      </c>
      <c r="B28" s="343"/>
      <c r="C28" s="343"/>
      <c r="D28" s="343"/>
      <c r="E28" s="343"/>
      <c r="F28" s="343"/>
      <c r="G28" s="343"/>
      <c r="H28" s="344"/>
      <c r="K28" s="609"/>
      <c r="L28" s="610"/>
      <c r="M28" s="610"/>
      <c r="N28" s="610"/>
      <c r="O28" s="610"/>
      <c r="P28" s="610"/>
      <c r="Q28" s="611"/>
      <c r="S28" s="367" t="s">
        <v>1355</v>
      </c>
      <c r="T28" s="367"/>
      <c r="U28" s="3">
        <f>Y21</f>
        <v>-5</v>
      </c>
      <c r="V28" s="549" t="s">
        <v>1369</v>
      </c>
      <c r="W28" s="550"/>
      <c r="X28" s="551"/>
      <c r="Y28" s="6">
        <f>U28+Y27</f>
        <v>35</v>
      </c>
    </row>
    <row r="29" spans="1:25" x14ac:dyDescent="0.25">
      <c r="A29" s="421" t="s">
        <v>66</v>
      </c>
      <c r="B29" s="422"/>
      <c r="C29" s="422"/>
      <c r="D29" s="422"/>
      <c r="E29" s="422"/>
      <c r="F29" s="422"/>
      <c r="G29" s="422"/>
      <c r="H29" s="540"/>
      <c r="K29" s="609"/>
      <c r="L29" s="610"/>
      <c r="M29" s="610"/>
      <c r="N29" s="610"/>
      <c r="O29" s="610"/>
      <c r="P29" s="610"/>
      <c r="Q29" s="611"/>
      <c r="S29" s="543"/>
      <c r="T29" s="544"/>
      <c r="U29" s="545"/>
      <c r="V29" s="367" t="s">
        <v>1356</v>
      </c>
      <c r="W29" s="367"/>
      <c r="X29" s="367"/>
      <c r="Y29" s="3">
        <f>((U27*Y27)/1000)</f>
        <v>2.2799999999999998</v>
      </c>
    </row>
    <row r="30" spans="1:25" ht="18" x14ac:dyDescent="0.35">
      <c r="A30" s="569" t="s">
        <v>94</v>
      </c>
      <c r="B30" s="570"/>
      <c r="C30" s="570"/>
      <c r="D30" s="570"/>
      <c r="E30" s="1">
        <v>0.85</v>
      </c>
      <c r="F30" s="367" t="s">
        <v>481</v>
      </c>
      <c r="G30" s="367"/>
      <c r="H30" s="368"/>
      <c r="K30" s="609"/>
      <c r="L30" s="610"/>
      <c r="M30" s="610"/>
      <c r="N30" s="610"/>
      <c r="O30" s="610"/>
      <c r="P30" s="610"/>
      <c r="Q30" s="611"/>
      <c r="S30" s="546"/>
      <c r="T30" s="547"/>
      <c r="U30" s="548"/>
      <c r="V30" s="381" t="s">
        <v>1359</v>
      </c>
      <c r="W30" s="381"/>
      <c r="X30" s="381"/>
      <c r="Y30" s="6">
        <f>Y29+Y25</f>
        <v>9.3949999999999996</v>
      </c>
    </row>
    <row r="31" spans="1:25" ht="15.75" thickBot="1" x14ac:dyDescent="0.3">
      <c r="A31" s="380" t="s">
        <v>478</v>
      </c>
      <c r="B31" s="381"/>
      <c r="C31" s="381"/>
      <c r="D31" s="381"/>
      <c r="E31" s="1">
        <v>100</v>
      </c>
      <c r="F31" s="524">
        <f>E31/E30</f>
        <v>117.64705882352942</v>
      </c>
      <c r="G31" s="524"/>
      <c r="H31" s="602"/>
      <c r="K31" s="612"/>
      <c r="L31" s="613"/>
      <c r="M31" s="613"/>
      <c r="N31" s="613"/>
      <c r="O31" s="613"/>
      <c r="P31" s="613"/>
      <c r="Q31" s="614"/>
      <c r="S31" s="542" t="s">
        <v>1370</v>
      </c>
      <c r="T31" s="542"/>
      <c r="U31" s="542"/>
      <c r="V31" s="542"/>
      <c r="W31" s="542"/>
      <c r="X31" s="542"/>
      <c r="Y31" s="542"/>
    </row>
    <row r="32" spans="1:25" ht="18.75" thickBot="1" x14ac:dyDescent="0.4">
      <c r="A32" s="539" t="s">
        <v>67</v>
      </c>
      <c r="B32" s="523"/>
      <c r="C32" s="523"/>
      <c r="D32" s="523"/>
      <c r="E32" s="523"/>
      <c r="F32" s="523"/>
      <c r="G32" s="523"/>
      <c r="H32" s="541"/>
      <c r="S32" s="367" t="s">
        <v>1364</v>
      </c>
      <c r="T32" s="367"/>
      <c r="U32" s="1">
        <v>42</v>
      </c>
      <c r="V32" s="367" t="s">
        <v>1356</v>
      </c>
      <c r="W32" s="367"/>
      <c r="X32" s="367"/>
      <c r="Y32" s="3">
        <f>U32</f>
        <v>42</v>
      </c>
    </row>
    <row r="33" spans="1:25" ht="18" x14ac:dyDescent="0.35">
      <c r="A33" s="573" t="s">
        <v>97</v>
      </c>
      <c r="B33" s="574"/>
      <c r="C33" s="574"/>
      <c r="D33" s="574"/>
      <c r="E33" s="3">
        <f>F31</f>
        <v>117.64705882352942</v>
      </c>
      <c r="F33" s="578" t="s">
        <v>480</v>
      </c>
      <c r="G33" s="578"/>
      <c r="H33" s="579"/>
      <c r="K33" s="581" t="s">
        <v>355</v>
      </c>
      <c r="L33" s="582"/>
      <c r="M33" s="582"/>
      <c r="N33" s="582"/>
      <c r="O33" s="583"/>
      <c r="S33" s="367" t="s">
        <v>1357</v>
      </c>
      <c r="T33" s="367"/>
      <c r="U33" s="3">
        <f>U25</f>
        <v>35</v>
      </c>
      <c r="V33" s="381" t="s">
        <v>1359</v>
      </c>
      <c r="W33" s="381"/>
      <c r="X33" s="381"/>
      <c r="Y33" s="6">
        <f>Y30+Y32</f>
        <v>51.394999999999996</v>
      </c>
    </row>
    <row r="34" spans="1:25" ht="18.75" thickBot="1" x14ac:dyDescent="0.4">
      <c r="A34" s="575" t="s">
        <v>94</v>
      </c>
      <c r="B34" s="576"/>
      <c r="C34" s="576"/>
      <c r="D34" s="576"/>
      <c r="E34" s="1">
        <v>5.23</v>
      </c>
      <c r="F34" s="524">
        <f>E33*E34</f>
        <v>615.2941176470589</v>
      </c>
      <c r="G34" s="524"/>
      <c r="H34" s="602"/>
      <c r="K34" s="584" t="s">
        <v>361</v>
      </c>
      <c r="L34" s="585"/>
      <c r="M34" s="585"/>
      <c r="N34" s="585"/>
      <c r="O34" s="586"/>
      <c r="S34" s="542" t="s">
        <v>1345</v>
      </c>
      <c r="T34" s="542"/>
      <c r="U34" s="542"/>
      <c r="V34" s="542"/>
      <c r="W34" s="542"/>
      <c r="X34" s="542"/>
      <c r="Y34" s="542"/>
    </row>
    <row r="35" spans="1:25" x14ac:dyDescent="0.25">
      <c r="A35" s="539" t="s">
        <v>68</v>
      </c>
      <c r="B35" s="523"/>
      <c r="C35" s="523"/>
      <c r="D35" s="523"/>
      <c r="E35" s="523"/>
      <c r="F35" s="523"/>
      <c r="G35" s="523"/>
      <c r="H35" s="541"/>
      <c r="K35" s="363" t="s">
        <v>35</v>
      </c>
      <c r="L35" s="364"/>
      <c r="M35" s="80" t="s">
        <v>55</v>
      </c>
      <c r="N35" s="587" t="s">
        <v>36</v>
      </c>
      <c r="O35" s="588"/>
      <c r="S35" s="367" t="s">
        <v>1362</v>
      </c>
      <c r="T35" s="367"/>
      <c r="U35" s="1">
        <v>70</v>
      </c>
    </row>
    <row r="36" spans="1:25" x14ac:dyDescent="0.25">
      <c r="A36" s="366" t="s">
        <v>479</v>
      </c>
      <c r="B36" s="367"/>
      <c r="C36" s="367"/>
      <c r="D36" s="367"/>
      <c r="E36" s="3">
        <f>F34*-1</f>
        <v>-615.2941176470589</v>
      </c>
      <c r="F36" s="367" t="s">
        <v>70</v>
      </c>
      <c r="G36" s="367"/>
      <c r="H36" s="368"/>
      <c r="K36" s="580" t="s">
        <v>358</v>
      </c>
      <c r="L36" s="536"/>
      <c r="M36" s="1" t="s">
        <v>401</v>
      </c>
      <c r="N36" s="428"/>
      <c r="O36" s="589"/>
      <c r="S36" s="367" t="s">
        <v>1366</v>
      </c>
      <c r="T36" s="367"/>
      <c r="U36" s="1"/>
    </row>
    <row r="37" spans="1:25" ht="15.75" thickBot="1" x14ac:dyDescent="0.3">
      <c r="A37" s="357" t="s">
        <v>69</v>
      </c>
      <c r="B37" s="358"/>
      <c r="C37" s="358"/>
      <c r="D37" s="358"/>
      <c r="E37" s="2">
        <v>0.245</v>
      </c>
      <c r="F37" s="515">
        <f>IF(E36&lt;0,E36/E37/1000*-1,IF(E36&gt;0,E36/E37/1000))</f>
        <v>2.51140456182473</v>
      </c>
      <c r="G37" s="515"/>
      <c r="H37" s="577"/>
      <c r="K37" s="366" t="s">
        <v>356</v>
      </c>
      <c r="L37" s="367"/>
      <c r="M37" s="1">
        <v>3.24</v>
      </c>
      <c r="N37" s="560">
        <f>IF(NOT(ISNUMBER(M36)),M39*M40,
IF(NOT(ISNUMBER(M37)),M36/M40,
IF(NOT(ISNUMBER(M40)),M36/M39,
"Check Inputs")))</f>
        <v>94284</v>
      </c>
      <c r="O37" s="571" t="str">
        <f>IF(NOT(ISNUMBER(M36)),"J",
IF(NOT(ISNUMBER(M37)),"mol",
IF(NOT(ISNUMBER(M40)),"J/mol")))</f>
        <v>J</v>
      </c>
      <c r="S37" s="367" t="s">
        <v>1365</v>
      </c>
      <c r="T37" s="367"/>
      <c r="U37" s="1"/>
    </row>
    <row r="38" spans="1:25" ht="15.75" thickBot="1" x14ac:dyDescent="0.3">
      <c r="K38" s="366" t="s">
        <v>357</v>
      </c>
      <c r="L38" s="367"/>
      <c r="M38" s="1">
        <v>1</v>
      </c>
      <c r="N38" s="561"/>
      <c r="O38" s="590"/>
    </row>
    <row r="39" spans="1:25" ht="15.75" thickBot="1" x14ac:dyDescent="0.3">
      <c r="A39" s="342" t="s">
        <v>75</v>
      </c>
      <c r="B39" s="343"/>
      <c r="C39" s="343"/>
      <c r="D39" s="343"/>
      <c r="E39" s="343"/>
      <c r="F39" s="343"/>
      <c r="G39" s="344"/>
      <c r="K39" s="366" t="s">
        <v>360</v>
      </c>
      <c r="L39" s="367"/>
      <c r="M39" s="3">
        <f>M37/M38</f>
        <v>3.24</v>
      </c>
      <c r="N39" s="560">
        <f>IF(O37="J",N37/1000,IF(O37="mol",N37*M38,""))</f>
        <v>94.284000000000006</v>
      </c>
      <c r="O39" s="571" t="str">
        <f>IF(O37="J","kJ",IF(O37="mol","g",""))</f>
        <v>kJ</v>
      </c>
    </row>
    <row r="40" spans="1:25" ht="18.75" thickBot="1" x14ac:dyDescent="0.4">
      <c r="A40" s="421" t="s">
        <v>35</v>
      </c>
      <c r="B40" s="422"/>
      <c r="C40" s="422"/>
      <c r="D40" s="278" t="s">
        <v>55</v>
      </c>
      <c r="E40" s="591" t="s">
        <v>36</v>
      </c>
      <c r="F40" s="601"/>
      <c r="G40" s="592"/>
      <c r="K40" s="357" t="s">
        <v>359</v>
      </c>
      <c r="L40" s="358"/>
      <c r="M40" s="2">
        <v>29100</v>
      </c>
      <c r="N40" s="562"/>
      <c r="O40" s="572"/>
    </row>
    <row r="41" spans="1:25" x14ac:dyDescent="0.25">
      <c r="A41" s="366" t="s">
        <v>72</v>
      </c>
      <c r="B41" s="367"/>
      <c r="C41" s="367"/>
      <c r="D41" s="1">
        <v>7</v>
      </c>
      <c r="E41" s="549" t="s">
        <v>76</v>
      </c>
      <c r="F41" s="550"/>
      <c r="G41" s="559"/>
    </row>
    <row r="42" spans="1:25" x14ac:dyDescent="0.25">
      <c r="A42" s="366" t="s">
        <v>73</v>
      </c>
      <c r="B42" s="367"/>
      <c r="C42" s="367"/>
      <c r="D42" s="1">
        <v>15.2</v>
      </c>
      <c r="E42" s="596">
        <f>((D41*D42)+(D43*D44))/(D41+D43)</f>
        <v>81.219108280254773</v>
      </c>
      <c r="F42" s="597"/>
      <c r="G42" s="598"/>
    </row>
    <row r="43" spans="1:25" x14ac:dyDescent="0.25">
      <c r="A43" s="366" t="s">
        <v>78</v>
      </c>
      <c r="B43" s="367"/>
      <c r="C43" s="367"/>
      <c r="D43" s="1">
        <v>150</v>
      </c>
      <c r="E43" s="549" t="s">
        <v>77</v>
      </c>
      <c r="F43" s="550"/>
      <c r="G43" s="559"/>
    </row>
    <row r="44" spans="1:25" ht="15.75" thickBot="1" x14ac:dyDescent="0.3">
      <c r="A44" s="552" t="s">
        <v>74</v>
      </c>
      <c r="B44" s="553"/>
      <c r="C44" s="553"/>
      <c r="D44" s="9">
        <v>84.3</v>
      </c>
      <c r="E44" s="566">
        <f>D41*D42+D43*D44/(D42+D44)</f>
        <v>233.48542713567838</v>
      </c>
      <c r="F44" s="567"/>
      <c r="G44" s="568"/>
    </row>
    <row r="45" spans="1:25" ht="18.75" thickBot="1" x14ac:dyDescent="0.4">
      <c r="A45" s="388" t="s">
        <v>92</v>
      </c>
      <c r="B45" s="389"/>
      <c r="C45" s="389"/>
      <c r="D45" s="389"/>
      <c r="E45" s="389"/>
      <c r="F45" s="389"/>
      <c r="G45" s="390"/>
    </row>
    <row r="46" spans="1:25" x14ac:dyDescent="0.25">
      <c r="A46" s="593" t="s">
        <v>35</v>
      </c>
      <c r="B46" s="594"/>
      <c r="C46" s="594"/>
      <c r="D46" s="594"/>
      <c r="E46" s="14" t="s">
        <v>55</v>
      </c>
      <c r="F46" s="591" t="s">
        <v>36</v>
      </c>
      <c r="G46" s="592"/>
    </row>
    <row r="47" spans="1:25" x14ac:dyDescent="0.25">
      <c r="A47" s="366" t="s">
        <v>72</v>
      </c>
      <c r="B47" s="367"/>
      <c r="C47" s="367"/>
      <c r="D47" s="367"/>
      <c r="E47" s="1">
        <v>41</v>
      </c>
      <c r="F47" s="381" t="s">
        <v>81</v>
      </c>
      <c r="G47" s="490"/>
    </row>
    <row r="48" spans="1:25" x14ac:dyDescent="0.25">
      <c r="A48" s="366" t="s">
        <v>73</v>
      </c>
      <c r="B48" s="367"/>
      <c r="C48" s="367"/>
      <c r="D48" s="367"/>
      <c r="E48" s="1">
        <v>4.7</v>
      </c>
      <c r="F48" s="381"/>
      <c r="G48" s="490"/>
    </row>
    <row r="49" spans="1:8" x14ac:dyDescent="0.25">
      <c r="A49" s="366" t="s">
        <v>79</v>
      </c>
      <c r="B49" s="367"/>
      <c r="C49" s="367"/>
      <c r="D49" s="367"/>
      <c r="E49" s="1">
        <v>0.89700000000000002</v>
      </c>
      <c r="F49" s="381"/>
      <c r="G49" s="490"/>
      <c r="H49" s="67"/>
    </row>
    <row r="50" spans="1:8" x14ac:dyDescent="0.25">
      <c r="A50" s="366" t="s">
        <v>78</v>
      </c>
      <c r="B50" s="367"/>
      <c r="C50" s="367"/>
      <c r="D50" s="367"/>
      <c r="E50" s="1">
        <v>200</v>
      </c>
      <c r="F50" s="504">
        <f>((E50*E51*E52)+(E47*E49*E48))/(E47*E49+E50*E52)</f>
        <v>62.461410843005247</v>
      </c>
      <c r="G50" s="505"/>
    </row>
    <row r="51" spans="1:8" x14ac:dyDescent="0.25">
      <c r="A51" s="366" t="s">
        <v>74</v>
      </c>
      <c r="B51" s="367"/>
      <c r="C51" s="367"/>
      <c r="D51" s="367"/>
      <c r="E51" s="1">
        <v>65</v>
      </c>
      <c r="F51" s="504"/>
      <c r="G51" s="505"/>
    </row>
    <row r="52" spans="1:8" ht="15.75" thickBot="1" x14ac:dyDescent="0.3">
      <c r="A52" s="357" t="s">
        <v>80</v>
      </c>
      <c r="B52" s="358"/>
      <c r="C52" s="358"/>
      <c r="D52" s="358"/>
      <c r="E52" s="2">
        <v>4.1840000000000002</v>
      </c>
      <c r="F52" s="515"/>
      <c r="G52" s="577"/>
    </row>
  </sheetData>
  <mergeCells count="123">
    <mergeCell ref="K5:O5"/>
    <mergeCell ref="K11:Q11"/>
    <mergeCell ref="E7:F7"/>
    <mergeCell ref="E8:F8"/>
    <mergeCell ref="A6:D6"/>
    <mergeCell ref="E6:G6"/>
    <mergeCell ref="A5:H5"/>
    <mergeCell ref="A7:D7"/>
    <mergeCell ref="A23:D23"/>
    <mergeCell ref="F22:G23"/>
    <mergeCell ref="A10:D10"/>
    <mergeCell ref="K12:Q31"/>
    <mergeCell ref="A26:D26"/>
    <mergeCell ref="A22:D22"/>
    <mergeCell ref="A24:D24"/>
    <mergeCell ref="F24:G24"/>
    <mergeCell ref="A20:H20"/>
    <mergeCell ref="A21:D21"/>
    <mergeCell ref="F21:H21"/>
    <mergeCell ref="F15:H18"/>
    <mergeCell ref="A14:D14"/>
    <mergeCell ref="A12:H12"/>
    <mergeCell ref="A13:D13"/>
    <mergeCell ref="A15:D15"/>
    <mergeCell ref="A16:D16"/>
    <mergeCell ref="F13:H13"/>
    <mergeCell ref="F14:H14"/>
    <mergeCell ref="A41:C41"/>
    <mergeCell ref="A39:G39"/>
    <mergeCell ref="A40:C40"/>
    <mergeCell ref="E42:G42"/>
    <mergeCell ref="F25:G25"/>
    <mergeCell ref="F26:H26"/>
    <mergeCell ref="A28:H28"/>
    <mergeCell ref="A25:D25"/>
    <mergeCell ref="E40:G40"/>
    <mergeCell ref="E41:G41"/>
    <mergeCell ref="F34:H34"/>
    <mergeCell ref="F36:H36"/>
    <mergeCell ref="A31:D31"/>
    <mergeCell ref="A32:H32"/>
    <mergeCell ref="F31:H31"/>
    <mergeCell ref="A42:C42"/>
    <mergeCell ref="A17:D17"/>
    <mergeCell ref="A18:D18"/>
    <mergeCell ref="A52:D52"/>
    <mergeCell ref="F46:G46"/>
    <mergeCell ref="F47:G49"/>
    <mergeCell ref="F50:G52"/>
    <mergeCell ref="A46:D46"/>
    <mergeCell ref="A47:D47"/>
    <mergeCell ref="A48:D48"/>
    <mergeCell ref="A49:D49"/>
    <mergeCell ref="A50:D50"/>
    <mergeCell ref="A51:D51"/>
    <mergeCell ref="A43:C43"/>
    <mergeCell ref="A33:D33"/>
    <mergeCell ref="A34:D34"/>
    <mergeCell ref="A35:H35"/>
    <mergeCell ref="A36:D36"/>
    <mergeCell ref="A37:D37"/>
    <mergeCell ref="F37:H37"/>
    <mergeCell ref="F33:H33"/>
    <mergeCell ref="S37:T37"/>
    <mergeCell ref="S35:T35"/>
    <mergeCell ref="K36:L36"/>
    <mergeCell ref="K37:L37"/>
    <mergeCell ref="K38:L38"/>
    <mergeCell ref="K39:L39"/>
    <mergeCell ref="K40:L40"/>
    <mergeCell ref="N37:N38"/>
    <mergeCell ref="K33:O33"/>
    <mergeCell ref="K34:O34"/>
    <mergeCell ref="K35:L35"/>
    <mergeCell ref="N35:O36"/>
    <mergeCell ref="O37:O38"/>
    <mergeCell ref="S33:T33"/>
    <mergeCell ref="S34:Y34"/>
    <mergeCell ref="S32:T32"/>
    <mergeCell ref="V33:X33"/>
    <mergeCell ref="S36:T36"/>
    <mergeCell ref="V32:X32"/>
    <mergeCell ref="A45:G45"/>
    <mergeCell ref="A44:C44"/>
    <mergeCell ref="A1:E1"/>
    <mergeCell ref="A2:E2"/>
    <mergeCell ref="A3:E3"/>
    <mergeCell ref="A8:D8"/>
    <mergeCell ref="A9:D9"/>
    <mergeCell ref="E9:F9"/>
    <mergeCell ref="E10:F10"/>
    <mergeCell ref="F30:H30"/>
    <mergeCell ref="H22:H23"/>
    <mergeCell ref="G7:H7"/>
    <mergeCell ref="G8:G10"/>
    <mergeCell ref="H8:H10"/>
    <mergeCell ref="E43:G43"/>
    <mergeCell ref="E44:G44"/>
    <mergeCell ref="A29:H29"/>
    <mergeCell ref="A30:D30"/>
    <mergeCell ref="N39:N40"/>
    <mergeCell ref="O39:O40"/>
    <mergeCell ref="S19:Y19"/>
    <mergeCell ref="S23:Y23"/>
    <mergeCell ref="S26:Y26"/>
    <mergeCell ref="S31:Y31"/>
    <mergeCell ref="S29:U30"/>
    <mergeCell ref="V21:X21"/>
    <mergeCell ref="V24:X24"/>
    <mergeCell ref="V28:X28"/>
    <mergeCell ref="V29:X29"/>
    <mergeCell ref="V27:X27"/>
    <mergeCell ref="V30:X30"/>
    <mergeCell ref="S20:T20"/>
    <mergeCell ref="S22:T22"/>
    <mergeCell ref="S21:T21"/>
    <mergeCell ref="S24:T24"/>
    <mergeCell ref="V25:X25"/>
    <mergeCell ref="V20:X20"/>
    <mergeCell ref="V22:X22"/>
    <mergeCell ref="S25:T25"/>
    <mergeCell ref="S27:T27"/>
    <mergeCell ref="S28:T28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77378-1FA0-4ED2-A2FD-3CB2CA9B69D8}">
  <sheetPr codeName="Sheet4"/>
  <dimension ref="A1:AG151"/>
  <sheetViews>
    <sheetView workbookViewId="0">
      <selection activeCell="L45" sqref="L45"/>
    </sheetView>
  </sheetViews>
  <sheetFormatPr defaultRowHeight="15" x14ac:dyDescent="0.25"/>
  <cols>
    <col min="1" max="1" width="11.5703125" customWidth="1"/>
    <col min="2" max="2" width="9.7109375" customWidth="1"/>
    <col min="7" max="7" width="9.5703125" bestFit="1" customWidth="1"/>
    <col min="8" max="8" width="10.28515625" customWidth="1"/>
    <col min="11" max="11" width="11.140625" customWidth="1"/>
    <col min="15" max="15" width="9.140625" customWidth="1"/>
  </cols>
  <sheetData>
    <row r="1" spans="1:27" x14ac:dyDescent="0.25">
      <c r="A1" s="463" t="s">
        <v>51</v>
      </c>
      <c r="B1" s="463"/>
      <c r="C1" s="463"/>
      <c r="D1" s="463"/>
      <c r="E1" s="463"/>
    </row>
    <row r="2" spans="1:27" x14ac:dyDescent="0.25">
      <c r="A2" s="524" t="s">
        <v>443</v>
      </c>
      <c r="B2" s="524"/>
      <c r="C2" s="524"/>
      <c r="D2" s="524"/>
      <c r="E2" s="524"/>
      <c r="K2" s="27"/>
      <c r="L2" s="27"/>
      <c r="M2" s="27"/>
      <c r="N2" s="27"/>
      <c r="O2" s="27"/>
      <c r="P2" s="27"/>
      <c r="Q2" s="27"/>
      <c r="R2" s="27"/>
      <c r="S2" s="27"/>
    </row>
    <row r="3" spans="1:27" x14ac:dyDescent="0.25">
      <c r="A3" s="442" t="s">
        <v>444</v>
      </c>
      <c r="B3" s="442"/>
      <c r="C3" s="442"/>
      <c r="D3" s="442"/>
      <c r="E3" s="442"/>
      <c r="K3" s="27"/>
      <c r="L3" s="27"/>
      <c r="M3" s="27"/>
      <c r="N3" s="27"/>
      <c r="O3" s="27"/>
      <c r="P3" s="27"/>
      <c r="Q3" s="27"/>
      <c r="R3" s="27"/>
      <c r="S3" s="27"/>
    </row>
    <row r="4" spans="1:27" ht="15.75" customHeight="1" thickBot="1" x14ac:dyDescent="0.3">
      <c r="K4" s="27"/>
      <c r="L4" s="27"/>
      <c r="M4" s="27"/>
      <c r="N4" s="27"/>
      <c r="O4" s="27"/>
      <c r="P4" s="27"/>
      <c r="Q4" s="27"/>
      <c r="R4" s="27"/>
      <c r="S4" s="27"/>
    </row>
    <row r="5" spans="1:27" ht="15.75" thickBot="1" x14ac:dyDescent="0.3">
      <c r="A5" s="388" t="s">
        <v>100</v>
      </c>
      <c r="B5" s="389"/>
      <c r="C5" s="389"/>
      <c r="D5" s="389"/>
      <c r="E5" s="389"/>
      <c r="F5" s="389"/>
      <c r="G5" s="389"/>
      <c r="H5" s="390"/>
      <c r="K5" s="342" t="s">
        <v>333</v>
      </c>
      <c r="L5" s="343"/>
      <c r="M5" s="344"/>
      <c r="O5" s="375" t="s">
        <v>336</v>
      </c>
      <c r="P5" s="376"/>
      <c r="Q5" s="376"/>
      <c r="R5" s="376"/>
      <c r="S5" s="376"/>
      <c r="T5" s="377"/>
    </row>
    <row r="6" spans="1:27" x14ac:dyDescent="0.25">
      <c r="A6" s="421" t="s">
        <v>35</v>
      </c>
      <c r="B6" s="422"/>
      <c r="C6" s="422"/>
      <c r="D6" s="422"/>
      <c r="E6" s="14" t="s">
        <v>55</v>
      </c>
      <c r="F6" s="422" t="s">
        <v>36</v>
      </c>
      <c r="G6" s="422"/>
      <c r="H6" s="540"/>
      <c r="K6" s="81" t="s">
        <v>334</v>
      </c>
      <c r="L6" s="364" t="s">
        <v>332</v>
      </c>
      <c r="M6" s="365"/>
      <c r="N6" s="27"/>
      <c r="O6" s="378" t="s">
        <v>337</v>
      </c>
      <c r="P6" s="379"/>
      <c r="Q6" s="379"/>
      <c r="R6" s="379"/>
      <c r="S6" s="379"/>
      <c r="T6" s="468"/>
    </row>
    <row r="7" spans="1:27" ht="18.75" thickBot="1" x14ac:dyDescent="0.3">
      <c r="A7" s="366" t="s">
        <v>89</v>
      </c>
      <c r="B7" s="367"/>
      <c r="C7" s="367"/>
      <c r="D7" s="367"/>
      <c r="E7" s="1">
        <v>-92</v>
      </c>
      <c r="F7" s="684" t="s">
        <v>91</v>
      </c>
      <c r="G7" s="685"/>
      <c r="H7" s="686"/>
      <c r="K7" s="82" t="s">
        <v>330</v>
      </c>
      <c r="L7" s="358" t="s">
        <v>331</v>
      </c>
      <c r="M7" s="359"/>
      <c r="O7" s="384" t="s">
        <v>335</v>
      </c>
      <c r="P7" s="385"/>
      <c r="Q7" s="385"/>
      <c r="R7" s="385"/>
      <c r="S7" s="385"/>
      <c r="T7" s="494"/>
    </row>
    <row r="8" spans="1:27" ht="15.75" thickBot="1" x14ac:dyDescent="0.3">
      <c r="A8" s="649" t="s">
        <v>90</v>
      </c>
      <c r="B8" s="550"/>
      <c r="C8" s="550"/>
      <c r="D8" s="551"/>
      <c r="E8" s="1">
        <v>-330</v>
      </c>
      <c r="F8" s="428"/>
      <c r="G8" s="687"/>
      <c r="H8" s="589"/>
    </row>
    <row r="9" spans="1:27" ht="15.75" thickBot="1" x14ac:dyDescent="0.3">
      <c r="A9" s="366" t="s">
        <v>85</v>
      </c>
      <c r="B9" s="367"/>
      <c r="C9" s="367"/>
      <c r="D9" s="367"/>
      <c r="E9" s="1">
        <v>2</v>
      </c>
      <c r="F9" s="531">
        <f>IF(E9&lt;E10,(((E7*E10)+E8)/E11),(((E8*E9)+E7)/(E9*E11)))</f>
        <v>-376</v>
      </c>
      <c r="G9" s="688"/>
      <c r="H9" s="689"/>
      <c r="K9" s="342" t="s">
        <v>188</v>
      </c>
      <c r="L9" s="343"/>
      <c r="M9" s="343"/>
      <c r="N9" s="344"/>
    </row>
    <row r="10" spans="1:27" ht="15.75" thickBot="1" x14ac:dyDescent="0.3">
      <c r="A10" s="366" t="s">
        <v>83</v>
      </c>
      <c r="B10" s="367"/>
      <c r="C10" s="367"/>
      <c r="D10" s="367"/>
      <c r="E10" s="1">
        <v>1</v>
      </c>
      <c r="F10" s="690"/>
      <c r="G10" s="691"/>
      <c r="H10" s="692"/>
      <c r="K10" s="363" t="s">
        <v>189</v>
      </c>
      <c r="L10" s="364"/>
      <c r="M10" s="364"/>
      <c r="N10" s="365"/>
      <c r="T10" s="342" t="s">
        <v>728</v>
      </c>
      <c r="U10" s="343"/>
      <c r="V10" s="343"/>
      <c r="W10" s="343"/>
      <c r="X10" s="344"/>
      <c r="Y10" s="391" t="s">
        <v>744</v>
      </c>
      <c r="Z10" s="392"/>
      <c r="AA10" s="393"/>
    </row>
    <row r="11" spans="1:27" ht="15.75" thickBot="1" x14ac:dyDescent="0.3">
      <c r="A11" s="357" t="s">
        <v>84</v>
      </c>
      <c r="B11" s="358"/>
      <c r="C11" s="358"/>
      <c r="D11" s="358"/>
      <c r="E11" s="2">
        <v>1</v>
      </c>
      <c r="F11" s="693"/>
      <c r="G11" s="694"/>
      <c r="H11" s="695"/>
      <c r="K11" s="725" t="s">
        <v>190</v>
      </c>
      <c r="L11" s="726"/>
      <c r="M11" s="726"/>
      <c r="N11" s="727"/>
      <c r="T11" s="382" t="s">
        <v>626</v>
      </c>
      <c r="U11" s="383"/>
      <c r="V11" s="170" t="s">
        <v>263</v>
      </c>
      <c r="W11" s="351">
        <f>IF(V11="Hf",_xlfn.XLOOKUP(T11,T14:T139,V14:V139,"Check Input",0),
IF(V11="Gf",_xlfn.XLOOKUP(T11,T14:T139,W14:W139,"Check Input",0),
IF(V11="S",_xlfn.XLOOKUP(T11,T14:T139,X14:X139,"Check Input",0))))</f>
        <v>-125.7</v>
      </c>
      <c r="X11" s="352"/>
      <c r="Y11" s="635"/>
      <c r="Z11" s="636"/>
      <c r="AA11" s="637"/>
    </row>
    <row r="12" spans="1:27" ht="15.75" thickBot="1" x14ac:dyDescent="0.3">
      <c r="K12" s="728"/>
      <c r="L12" s="729"/>
      <c r="M12" s="729"/>
      <c r="N12" s="730"/>
      <c r="T12" s="421" t="s">
        <v>596</v>
      </c>
      <c r="U12" s="422"/>
      <c r="V12" s="162" t="s">
        <v>597</v>
      </c>
      <c r="W12" s="162" t="s">
        <v>598</v>
      </c>
      <c r="X12" s="163" t="s">
        <v>599</v>
      </c>
      <c r="Y12" s="638"/>
      <c r="Z12" s="639"/>
      <c r="AA12" s="640"/>
    </row>
    <row r="13" spans="1:27" ht="15.75" thickBot="1" x14ac:dyDescent="0.3">
      <c r="A13" s="342" t="s">
        <v>101</v>
      </c>
      <c r="B13" s="343"/>
      <c r="C13" s="343"/>
      <c r="D13" s="343"/>
      <c r="E13" s="344"/>
      <c r="K13" s="357" t="s">
        <v>192</v>
      </c>
      <c r="L13" s="358"/>
      <c r="M13" s="358"/>
      <c r="N13" s="359"/>
      <c r="T13" s="345" t="s">
        <v>600</v>
      </c>
      <c r="U13" s="346"/>
      <c r="V13" s="346"/>
      <c r="W13" s="346"/>
      <c r="X13" s="347"/>
    </row>
    <row r="14" spans="1:27" ht="15.75" thickBot="1" x14ac:dyDescent="0.3">
      <c r="A14" s="421" t="s">
        <v>35</v>
      </c>
      <c r="B14" s="422"/>
      <c r="C14" s="14" t="s">
        <v>55</v>
      </c>
      <c r="D14" s="422" t="s">
        <v>36</v>
      </c>
      <c r="E14" s="540"/>
      <c r="T14" s="336" t="s">
        <v>601</v>
      </c>
      <c r="U14" s="337"/>
      <c r="V14" s="87" t="s">
        <v>602</v>
      </c>
      <c r="W14" s="87">
        <v>-485</v>
      </c>
      <c r="X14" s="164" t="s">
        <v>602</v>
      </c>
    </row>
    <row r="15" spans="1:27" ht="15.75" thickBot="1" x14ac:dyDescent="0.3">
      <c r="A15" s="366" t="s">
        <v>102</v>
      </c>
      <c r="B15" s="367"/>
      <c r="C15" s="1">
        <v>12.7</v>
      </c>
      <c r="D15" s="684" t="str">
        <f>IF(NOT(ISNUMBER(C20)),"Heat Released kJ",
IF(NOT(ISNUMBER(C15)),"g Needed for Rxn",
"Check Inputs"))</f>
        <v>Heat Released kJ</v>
      </c>
      <c r="E15" s="686"/>
      <c r="K15" s="342" t="s">
        <v>117</v>
      </c>
      <c r="L15" s="343"/>
      <c r="M15" s="343"/>
      <c r="N15" s="344"/>
      <c r="R15" s="83"/>
      <c r="T15" s="336" t="s">
        <v>603</v>
      </c>
      <c r="U15" s="337"/>
      <c r="V15" s="87">
        <v>0</v>
      </c>
      <c r="W15" s="87">
        <v>0</v>
      </c>
      <c r="X15" s="164">
        <v>28.3</v>
      </c>
    </row>
    <row r="16" spans="1:27" x14ac:dyDescent="0.25">
      <c r="A16" s="366" t="s">
        <v>103</v>
      </c>
      <c r="B16" s="367"/>
      <c r="C16" s="1">
        <f>Fe*2+O*3</f>
        <v>159.68819999999999</v>
      </c>
      <c r="D16" s="428"/>
      <c r="E16" s="589"/>
      <c r="H16">
        <f>88.1/280</f>
        <v>0.31464285714285711</v>
      </c>
      <c r="K16" s="718"/>
      <c r="L16" s="719" t="s">
        <v>122</v>
      </c>
      <c r="M16" s="723" t="s">
        <v>121</v>
      </c>
      <c r="N16" s="721" t="s">
        <v>123</v>
      </c>
      <c r="R16" s="83"/>
      <c r="T16" s="336" t="s">
        <v>604</v>
      </c>
      <c r="U16" s="337"/>
      <c r="V16" s="87">
        <v>-1675.7</v>
      </c>
      <c r="W16" s="87">
        <v>-1582.3</v>
      </c>
      <c r="X16" s="164">
        <v>50.9</v>
      </c>
    </row>
    <row r="17" spans="1:27" ht="18" x14ac:dyDescent="0.35">
      <c r="A17" s="366" t="s">
        <v>105</v>
      </c>
      <c r="B17" s="367"/>
      <c r="C17" s="1">
        <v>560</v>
      </c>
      <c r="D17" s="531">
        <f>IF(NOT(ISNUMBER(C20)),(C15/C16)*C17/C18,
IF(NOT(ISNUMBER(C15)),C20*(C18/C17)*C16,
"Check Inputs"))</f>
        <v>22.268395535800391</v>
      </c>
      <c r="E17" s="689"/>
      <c r="K17" s="657"/>
      <c r="L17" s="720"/>
      <c r="M17" s="724"/>
      <c r="N17" s="722"/>
      <c r="T17" s="336" t="s">
        <v>605</v>
      </c>
      <c r="U17" s="337"/>
      <c r="V17" s="87" t="s">
        <v>602</v>
      </c>
      <c r="W17" s="87">
        <v>-1147.25</v>
      </c>
      <c r="X17" s="164" t="s">
        <v>602</v>
      </c>
    </row>
    <row r="18" spans="1:27" x14ac:dyDescent="0.25">
      <c r="A18" s="675" t="s">
        <v>104</v>
      </c>
      <c r="B18" s="676"/>
      <c r="C18" s="699">
        <v>2</v>
      </c>
      <c r="D18" s="533"/>
      <c r="E18" s="700"/>
      <c r="K18" s="658" t="s">
        <v>124</v>
      </c>
      <c r="L18" s="381" t="s">
        <v>127</v>
      </c>
      <c r="M18" s="381" t="s">
        <v>127</v>
      </c>
      <c r="N18" s="717" t="s">
        <v>130</v>
      </c>
      <c r="T18" s="348" t="s">
        <v>606</v>
      </c>
      <c r="U18" s="349"/>
      <c r="V18" s="349"/>
      <c r="W18" s="349"/>
      <c r="X18" s="350"/>
    </row>
    <row r="19" spans="1:27" ht="15" customHeight="1" x14ac:dyDescent="0.25">
      <c r="A19" s="675"/>
      <c r="B19" s="676"/>
      <c r="C19" s="699"/>
      <c r="D19" s="527">
        <f>D17</f>
        <v>22.268395535800391</v>
      </c>
      <c r="E19" s="696"/>
      <c r="K19" s="658"/>
      <c r="L19" s="381"/>
      <c r="M19" s="381"/>
      <c r="N19" s="717"/>
      <c r="T19" s="336" t="s">
        <v>607</v>
      </c>
      <c r="U19" s="337"/>
      <c r="V19" s="87" t="s">
        <v>602</v>
      </c>
      <c r="W19" s="87">
        <v>-104</v>
      </c>
      <c r="X19" s="164" t="s">
        <v>602</v>
      </c>
    </row>
    <row r="20" spans="1:27" ht="18.75" thickBot="1" x14ac:dyDescent="0.4">
      <c r="A20" s="357" t="s">
        <v>106</v>
      </c>
      <c r="B20" s="358"/>
      <c r="C20" s="2" t="s">
        <v>372</v>
      </c>
      <c r="D20" s="697"/>
      <c r="E20" s="698"/>
      <c r="K20" s="657" t="s">
        <v>125</v>
      </c>
      <c r="L20" s="381" t="s">
        <v>127</v>
      </c>
      <c r="M20" s="381" t="s">
        <v>129</v>
      </c>
      <c r="N20" s="490" t="s">
        <v>128</v>
      </c>
      <c r="T20" s="336" t="s">
        <v>608</v>
      </c>
      <c r="U20" s="337"/>
      <c r="V20" s="87">
        <v>0</v>
      </c>
      <c r="W20" s="87">
        <v>0</v>
      </c>
      <c r="X20" s="164">
        <v>152.19999999999999</v>
      </c>
    </row>
    <row r="21" spans="1:27" ht="15.75" thickBot="1" x14ac:dyDescent="0.3">
      <c r="K21" s="657"/>
      <c r="L21" s="381"/>
      <c r="M21" s="381"/>
      <c r="N21" s="490"/>
      <c r="T21" s="336" t="s">
        <v>609</v>
      </c>
      <c r="U21" s="337"/>
      <c r="V21" s="87">
        <v>30.9</v>
      </c>
      <c r="W21" s="87">
        <v>3.1</v>
      </c>
      <c r="X21" s="164">
        <v>245.5</v>
      </c>
    </row>
    <row r="22" spans="1:27" ht="15.75" thickBot="1" x14ac:dyDescent="0.3">
      <c r="A22" s="388" t="s">
        <v>98</v>
      </c>
      <c r="B22" s="389"/>
      <c r="C22" s="389"/>
      <c r="D22" s="389"/>
      <c r="E22" s="389"/>
      <c r="F22" s="389"/>
      <c r="G22" s="390"/>
      <c r="K22" s="658" t="s">
        <v>126</v>
      </c>
      <c r="L22" s="660" t="s">
        <v>130</v>
      </c>
      <c r="M22" s="381" t="s">
        <v>128</v>
      </c>
      <c r="N22" s="490" t="s">
        <v>128</v>
      </c>
      <c r="T22" s="336" t="s">
        <v>610</v>
      </c>
      <c r="U22" s="337"/>
      <c r="V22" s="87">
        <v>-36.299999999999997</v>
      </c>
      <c r="W22" s="87">
        <v>-53.4</v>
      </c>
      <c r="X22" s="164">
        <v>198.7</v>
      </c>
    </row>
    <row r="23" spans="1:27" ht="15.75" thickBot="1" x14ac:dyDescent="0.3">
      <c r="A23" s="421" t="s">
        <v>405</v>
      </c>
      <c r="B23" s="422"/>
      <c r="C23" s="422"/>
      <c r="D23" s="422"/>
      <c r="E23" s="422"/>
      <c r="F23" s="422"/>
      <c r="G23" s="540"/>
      <c r="H23" s="35"/>
      <c r="I23" s="23"/>
      <c r="K23" s="659"/>
      <c r="L23" s="661"/>
      <c r="M23" s="385"/>
      <c r="N23" s="494"/>
      <c r="R23" s="27"/>
      <c r="T23" s="353" t="s">
        <v>611</v>
      </c>
      <c r="U23" s="354"/>
      <c r="V23" s="354"/>
      <c r="W23" s="354"/>
      <c r="X23" s="355"/>
    </row>
    <row r="24" spans="1:27" ht="18.75" thickBot="1" x14ac:dyDescent="0.4">
      <c r="A24" s="17" t="s">
        <v>187</v>
      </c>
      <c r="B24" s="21" t="s">
        <v>134</v>
      </c>
      <c r="C24" s="87" t="s">
        <v>383</v>
      </c>
      <c r="D24" s="32" t="s">
        <v>131</v>
      </c>
      <c r="E24" s="21" t="s">
        <v>152</v>
      </c>
      <c r="F24" s="663"/>
      <c r="G24" s="664"/>
      <c r="I24" s="23"/>
      <c r="R24" s="27"/>
      <c r="T24" s="336" t="s">
        <v>612</v>
      </c>
      <c r="U24" s="337"/>
      <c r="V24" s="87" t="s">
        <v>602</v>
      </c>
      <c r="W24" s="87">
        <v>-553.6</v>
      </c>
      <c r="X24" s="164" t="s">
        <v>602</v>
      </c>
      <c r="Y24" s="27"/>
      <c r="Z24" s="27"/>
      <c r="AA24" s="27"/>
    </row>
    <row r="25" spans="1:27" ht="15.75" thickBot="1" x14ac:dyDescent="0.3">
      <c r="A25" s="17" t="s">
        <v>88</v>
      </c>
      <c r="B25" s="1" t="s">
        <v>164</v>
      </c>
      <c r="C25" s="1">
        <f>K66</f>
        <v>1</v>
      </c>
      <c r="D25" s="1">
        <v>-103.85</v>
      </c>
      <c r="E25" s="3">
        <f>C25*D25</f>
        <v>-103.85</v>
      </c>
      <c r="F25" s="665"/>
      <c r="G25" s="666"/>
      <c r="K25" s="342" t="s">
        <v>107</v>
      </c>
      <c r="L25" s="343"/>
      <c r="M25" s="343"/>
      <c r="N25" s="343"/>
      <c r="O25" s="343"/>
      <c r="P25" s="343"/>
      <c r="Q25" s="344"/>
      <c r="T25" s="336" t="s">
        <v>613</v>
      </c>
      <c r="U25" s="337"/>
      <c r="V25" s="87">
        <v>-795.4</v>
      </c>
      <c r="W25" s="87" t="s">
        <v>602</v>
      </c>
      <c r="X25" s="164" t="s">
        <v>602</v>
      </c>
      <c r="Y25" s="27"/>
      <c r="Z25" s="27"/>
      <c r="AA25" s="27"/>
    </row>
    <row r="26" spans="1:27" ht="18" x14ac:dyDescent="0.35">
      <c r="A26" s="17" t="s">
        <v>133</v>
      </c>
      <c r="B26" s="21" t="s">
        <v>49</v>
      </c>
      <c r="C26" s="1">
        <f>K67</f>
        <v>5</v>
      </c>
      <c r="D26" s="21">
        <v>0</v>
      </c>
      <c r="E26" s="3">
        <f t="shared" ref="E26:E28" si="0">C26*D26</f>
        <v>0</v>
      </c>
      <c r="F26" s="665"/>
      <c r="G26" s="666"/>
      <c r="K26" s="672" t="s">
        <v>191</v>
      </c>
      <c r="L26" s="673"/>
      <c r="M26" s="673"/>
      <c r="N26" s="673"/>
      <c r="O26" s="673"/>
      <c r="P26" s="673"/>
      <c r="Q26" s="674"/>
      <c r="T26" s="336" t="s">
        <v>614</v>
      </c>
      <c r="U26" s="337"/>
      <c r="V26" s="87">
        <v>-634.9</v>
      </c>
      <c r="W26" s="87" t="s">
        <v>602</v>
      </c>
      <c r="X26" s="164" t="s">
        <v>602</v>
      </c>
      <c r="Y26" s="27"/>
      <c r="Z26" s="27"/>
      <c r="AA26" s="27"/>
    </row>
    <row r="27" spans="1:27" ht="18" x14ac:dyDescent="0.35">
      <c r="A27" s="17" t="s">
        <v>86</v>
      </c>
      <c r="B27" s="21" t="s">
        <v>50</v>
      </c>
      <c r="C27" s="1">
        <f>M66</f>
        <v>3</v>
      </c>
      <c r="D27" s="21">
        <v>-393.5</v>
      </c>
      <c r="E27" s="3">
        <f t="shared" si="0"/>
        <v>-1180.5</v>
      </c>
      <c r="F27" s="665"/>
      <c r="G27" s="666"/>
      <c r="K27" s="675"/>
      <c r="L27" s="676"/>
      <c r="M27" s="676"/>
      <c r="N27" s="676"/>
      <c r="O27" s="676"/>
      <c r="P27" s="676"/>
      <c r="Q27" s="677"/>
      <c r="T27" s="336" t="s">
        <v>615</v>
      </c>
      <c r="U27" s="337"/>
      <c r="V27" s="87">
        <v>-985.2</v>
      </c>
      <c r="W27" s="87" t="s">
        <v>602</v>
      </c>
      <c r="X27" s="164" t="s">
        <v>602</v>
      </c>
      <c r="Y27" s="27"/>
      <c r="Z27" s="27"/>
      <c r="AA27" s="27"/>
    </row>
    <row r="28" spans="1:27" ht="18" x14ac:dyDescent="0.35">
      <c r="A28" s="40" t="s">
        <v>87</v>
      </c>
      <c r="B28" s="33" t="s">
        <v>48</v>
      </c>
      <c r="C28" s="9">
        <f>M67</f>
        <v>4</v>
      </c>
      <c r="D28" s="33">
        <v>-241.8</v>
      </c>
      <c r="E28" s="3">
        <f t="shared" si="0"/>
        <v>-967.2</v>
      </c>
      <c r="F28" s="665"/>
      <c r="G28" s="666"/>
      <c r="K28" s="675"/>
      <c r="L28" s="676"/>
      <c r="M28" s="676"/>
      <c r="N28" s="676"/>
      <c r="O28" s="676"/>
      <c r="P28" s="676"/>
      <c r="Q28" s="677"/>
      <c r="T28" s="336" t="s">
        <v>616</v>
      </c>
      <c r="U28" s="337"/>
      <c r="V28" s="87" t="s">
        <v>602</v>
      </c>
      <c r="W28" s="87">
        <v>-3884.7</v>
      </c>
      <c r="X28" s="164" t="s">
        <v>602</v>
      </c>
      <c r="Y28" s="27"/>
      <c r="Z28" s="27"/>
      <c r="AA28" s="27"/>
    </row>
    <row r="29" spans="1:27" ht="18" x14ac:dyDescent="0.35">
      <c r="A29" s="552" t="s">
        <v>140</v>
      </c>
      <c r="B29" s="553"/>
      <c r="C29" s="553"/>
      <c r="D29" s="553"/>
      <c r="E29" s="34">
        <f>E28+E27-E26-E25</f>
        <v>-2043.85</v>
      </c>
      <c r="F29" s="667"/>
      <c r="G29" s="668"/>
      <c r="K29" s="569" t="s">
        <v>118</v>
      </c>
      <c r="L29" s="570"/>
      <c r="M29" s="570"/>
      <c r="N29" s="570"/>
      <c r="O29" s="676" t="s">
        <v>119</v>
      </c>
      <c r="P29" s="676"/>
      <c r="Q29" s="677"/>
      <c r="T29" s="348" t="s">
        <v>617</v>
      </c>
      <c r="U29" s="349"/>
      <c r="V29" s="349"/>
      <c r="W29" s="349"/>
      <c r="X29" s="350"/>
      <c r="Y29" s="27"/>
      <c r="Z29" s="27"/>
      <c r="AA29" s="27"/>
    </row>
    <row r="30" spans="1:27" ht="18" x14ac:dyDescent="0.35">
      <c r="A30" s="539" t="s">
        <v>746</v>
      </c>
      <c r="B30" s="523"/>
      <c r="C30" s="523"/>
      <c r="D30" s="523"/>
      <c r="E30" s="523"/>
      <c r="F30" s="523"/>
      <c r="G30" s="541"/>
      <c r="H30" s="30"/>
      <c r="K30" s="366" t="s">
        <v>292</v>
      </c>
      <c r="L30" s="367"/>
      <c r="M30" s="367"/>
      <c r="N30" s="367"/>
      <c r="O30" s="676"/>
      <c r="P30" s="676"/>
      <c r="Q30" s="677"/>
      <c r="T30" s="336" t="s">
        <v>618</v>
      </c>
      <c r="U30" s="337"/>
      <c r="V30" s="87">
        <v>0</v>
      </c>
      <c r="W30" s="87">
        <v>0</v>
      </c>
      <c r="X30" s="164">
        <v>5.7</v>
      </c>
      <c r="Y30" s="27"/>
      <c r="Z30" s="27"/>
      <c r="AA30" s="27"/>
    </row>
    <row r="31" spans="1:27" ht="18.75" customHeight="1" x14ac:dyDescent="0.25">
      <c r="A31" s="366" t="s">
        <v>182</v>
      </c>
      <c r="B31" s="367"/>
      <c r="C31" s="367"/>
      <c r="D31" s="669">
        <v>5</v>
      </c>
      <c r="E31" s="669"/>
      <c r="F31" s="712" t="s">
        <v>747</v>
      </c>
      <c r="G31" s="713"/>
      <c r="K31" s="649" t="s">
        <v>293</v>
      </c>
      <c r="L31" s="550"/>
      <c r="M31" s="550"/>
      <c r="N31" s="551"/>
      <c r="O31" s="381" t="s">
        <v>120</v>
      </c>
      <c r="P31" s="381"/>
      <c r="Q31" s="490"/>
      <c r="T31" s="336" t="s">
        <v>619</v>
      </c>
      <c r="U31" s="337"/>
      <c r="V31" s="87">
        <v>-95.7</v>
      </c>
      <c r="W31" s="87">
        <v>-64</v>
      </c>
      <c r="X31" s="164">
        <v>309.39999999999998</v>
      </c>
      <c r="Y31" s="27"/>
      <c r="Z31" s="27"/>
      <c r="AA31" s="27"/>
    </row>
    <row r="32" spans="1:27" ht="18.75" thickBot="1" x14ac:dyDescent="0.4">
      <c r="A32" s="649" t="s">
        <v>155</v>
      </c>
      <c r="B32" s="550"/>
      <c r="C32" s="551"/>
      <c r="D32" s="710">
        <v>14</v>
      </c>
      <c r="E32" s="711"/>
      <c r="F32" s="714"/>
      <c r="G32" s="715"/>
      <c r="J32" s="27"/>
      <c r="K32" s="357" t="s">
        <v>347</v>
      </c>
      <c r="L32" s="358"/>
      <c r="M32" s="358"/>
      <c r="N32" s="358"/>
      <c r="O32" s="385"/>
      <c r="P32" s="385"/>
      <c r="Q32" s="494"/>
      <c r="R32" s="27"/>
      <c r="S32" s="27"/>
      <c r="T32" s="336" t="s">
        <v>620</v>
      </c>
      <c r="U32" s="337"/>
      <c r="V32" s="87">
        <v>-128.19999999999999</v>
      </c>
      <c r="W32" s="87">
        <v>-68.599999999999994</v>
      </c>
      <c r="X32" s="164">
        <v>214.4</v>
      </c>
      <c r="Y32" s="27"/>
      <c r="Z32" s="27"/>
      <c r="AA32" s="27"/>
    </row>
    <row r="33" spans="1:27" ht="15.75" thickBot="1" x14ac:dyDescent="0.3">
      <c r="A33" s="366" t="s">
        <v>156</v>
      </c>
      <c r="B33" s="367"/>
      <c r="C33" s="367"/>
      <c r="D33" s="367">
        <v>4.1840000000000002</v>
      </c>
      <c r="E33" s="367"/>
      <c r="F33" s="509">
        <f>(D31*D32*D33*D34)</f>
        <v>21966</v>
      </c>
      <c r="G33" s="615"/>
      <c r="I33" s="29"/>
      <c r="T33" s="336" t="s">
        <v>621</v>
      </c>
      <c r="U33" s="337"/>
      <c r="V33" s="87">
        <v>-136.80000000000001</v>
      </c>
      <c r="W33" s="87" t="s">
        <v>602</v>
      </c>
      <c r="X33" s="164" t="s">
        <v>602</v>
      </c>
      <c r="Y33" s="27"/>
      <c r="Z33" s="27"/>
      <c r="AA33" s="27"/>
    </row>
    <row r="34" spans="1:27" ht="15.75" thickBot="1" x14ac:dyDescent="0.3">
      <c r="A34" s="366" t="s">
        <v>154</v>
      </c>
      <c r="B34" s="367"/>
      <c r="C34" s="367"/>
      <c r="D34" s="463">
        <v>75</v>
      </c>
      <c r="E34" s="463"/>
      <c r="F34" s="509"/>
      <c r="G34" s="615"/>
      <c r="K34" s="342" t="s">
        <v>299</v>
      </c>
      <c r="L34" s="343"/>
      <c r="M34" s="343"/>
      <c r="N34" s="343"/>
      <c r="O34" s="343"/>
      <c r="P34" s="344"/>
      <c r="T34" s="336" t="s">
        <v>622</v>
      </c>
      <c r="U34" s="337"/>
      <c r="V34" s="87">
        <v>-74.599999999999994</v>
      </c>
      <c r="W34" s="87">
        <v>-50.5</v>
      </c>
      <c r="X34" s="164">
        <v>186.3</v>
      </c>
      <c r="Y34" s="27"/>
      <c r="Z34" s="27"/>
      <c r="AA34" s="27"/>
    </row>
    <row r="35" spans="1:27" x14ac:dyDescent="0.25">
      <c r="A35" s="539" t="s">
        <v>157</v>
      </c>
      <c r="B35" s="523"/>
      <c r="C35" s="523"/>
      <c r="D35" s="523"/>
      <c r="E35" s="523"/>
      <c r="F35" s="523"/>
      <c r="G35" s="541"/>
      <c r="J35" s="23"/>
      <c r="K35" s="60" t="s">
        <v>298</v>
      </c>
      <c r="L35" s="61" t="s">
        <v>297</v>
      </c>
      <c r="M35" s="364" t="s">
        <v>300</v>
      </c>
      <c r="N35" s="364"/>
      <c r="O35" s="364"/>
      <c r="P35" s="365"/>
      <c r="T35" s="336" t="s">
        <v>623</v>
      </c>
      <c r="U35" s="337"/>
      <c r="V35" s="87">
        <v>227.4</v>
      </c>
      <c r="W35" s="87" t="s">
        <v>602</v>
      </c>
      <c r="X35" s="164" t="s">
        <v>602</v>
      </c>
      <c r="Y35" s="27"/>
      <c r="Z35" s="27"/>
      <c r="AA35" s="27"/>
    </row>
    <row r="36" spans="1:27" x14ac:dyDescent="0.25">
      <c r="A36" s="380" t="s">
        <v>295</v>
      </c>
      <c r="B36" s="381"/>
      <c r="C36" s="381"/>
      <c r="D36" s="381"/>
      <c r="E36" s="381"/>
      <c r="F36" s="524">
        <f xml:space="preserve"> F33/-E29</f>
        <v>10.747364043349561</v>
      </c>
      <c r="G36" s="602"/>
      <c r="J36" s="23"/>
      <c r="K36" s="63" t="s">
        <v>301</v>
      </c>
      <c r="L36" s="64" t="s">
        <v>302</v>
      </c>
      <c r="M36" s="367" t="s">
        <v>303</v>
      </c>
      <c r="N36" s="367"/>
      <c r="O36" s="367"/>
      <c r="P36" s="368"/>
      <c r="T36" s="336" t="s">
        <v>624</v>
      </c>
      <c r="U36" s="337"/>
      <c r="V36" s="87">
        <v>-84</v>
      </c>
      <c r="W36" s="87" t="s">
        <v>602</v>
      </c>
      <c r="X36" s="164" t="s">
        <v>602</v>
      </c>
      <c r="Y36" s="27"/>
      <c r="Z36" s="27"/>
      <c r="AA36" s="27"/>
    </row>
    <row r="37" spans="1:27" x14ac:dyDescent="0.25">
      <c r="A37" s="539" t="s">
        <v>158</v>
      </c>
      <c r="B37" s="523"/>
      <c r="C37" s="523"/>
      <c r="D37" s="523"/>
      <c r="E37" s="523"/>
      <c r="F37" s="523"/>
      <c r="G37" s="541"/>
      <c r="I37" s="28"/>
      <c r="J37" s="30"/>
      <c r="K37" s="69" t="s">
        <v>302</v>
      </c>
      <c r="L37" s="64" t="s">
        <v>301</v>
      </c>
      <c r="M37" s="367" t="s">
        <v>304</v>
      </c>
      <c r="N37" s="367"/>
      <c r="O37" s="367"/>
      <c r="P37" s="368"/>
      <c r="T37" s="336" t="s">
        <v>625</v>
      </c>
      <c r="U37" s="337"/>
      <c r="V37" s="87">
        <v>-103.85</v>
      </c>
      <c r="W37" s="87">
        <v>-23.4</v>
      </c>
      <c r="X37" s="164">
        <v>270.3</v>
      </c>
      <c r="Y37" s="27"/>
      <c r="Z37" s="27"/>
      <c r="AA37" s="27"/>
    </row>
    <row r="38" spans="1:27" s="27" customFormat="1" x14ac:dyDescent="0.25">
      <c r="A38" s="366" t="s">
        <v>384</v>
      </c>
      <c r="B38" s="367"/>
      <c r="C38" s="367"/>
      <c r="D38" s="367"/>
      <c r="E38" s="367"/>
      <c r="F38" s="524">
        <f>C25</f>
        <v>1</v>
      </c>
      <c r="G38" s="602"/>
      <c r="J38" s="23"/>
      <c r="K38" s="69" t="s">
        <v>301</v>
      </c>
      <c r="L38" s="64" t="s">
        <v>301</v>
      </c>
      <c r="M38" s="367" t="s">
        <v>305</v>
      </c>
      <c r="N38" s="367"/>
      <c r="O38" s="367"/>
      <c r="P38" s="368"/>
      <c r="Q38"/>
      <c r="R38"/>
      <c r="S38"/>
      <c r="T38" s="336" t="s">
        <v>626</v>
      </c>
      <c r="U38" s="337"/>
      <c r="V38" s="87">
        <v>-125.7</v>
      </c>
      <c r="W38" s="87">
        <v>-15.7</v>
      </c>
      <c r="X38" s="164">
        <v>310</v>
      </c>
    </row>
    <row r="39" spans="1:27" s="27" customFormat="1" ht="15.75" thickBot="1" x14ac:dyDescent="0.3">
      <c r="A39" s="366" t="s">
        <v>159</v>
      </c>
      <c r="B39" s="367"/>
      <c r="C39" s="367"/>
      <c r="D39" s="367"/>
      <c r="E39" s="367"/>
      <c r="F39" s="670">
        <f>F36*F38</f>
        <v>10.747364043349561</v>
      </c>
      <c r="G39" s="671"/>
      <c r="J39" s="23"/>
      <c r="K39" s="70" t="s">
        <v>302</v>
      </c>
      <c r="L39" s="62" t="s">
        <v>302</v>
      </c>
      <c r="M39" s="358" t="s">
        <v>306</v>
      </c>
      <c r="N39" s="358"/>
      <c r="O39" s="358"/>
      <c r="P39" s="359"/>
      <c r="Q39"/>
      <c r="R39"/>
      <c r="S39"/>
      <c r="T39" s="336" t="s">
        <v>627</v>
      </c>
      <c r="U39" s="337"/>
      <c r="V39" s="87">
        <v>-147.30000000000001</v>
      </c>
      <c r="W39" s="87">
        <v>-15</v>
      </c>
      <c r="X39" s="164">
        <v>231</v>
      </c>
    </row>
    <row r="40" spans="1:27" s="27" customFormat="1" ht="15.75" thickBot="1" x14ac:dyDescent="0.3">
      <c r="A40" s="366" t="s">
        <v>153</v>
      </c>
      <c r="B40" s="367"/>
      <c r="C40" s="367"/>
      <c r="D40" s="1">
        <f>Propane</f>
        <v>44.095619999999997</v>
      </c>
      <c r="E40" s="367" t="s">
        <v>160</v>
      </c>
      <c r="F40" s="367"/>
      <c r="G40" s="31">
        <f>F39*D40</f>
        <v>473.91168085720574</v>
      </c>
      <c r="J40" s="23"/>
      <c r="K40"/>
      <c r="L40"/>
      <c r="M40"/>
      <c r="N40"/>
      <c r="O40"/>
      <c r="P40"/>
      <c r="Q40"/>
      <c r="R40"/>
      <c r="S40"/>
      <c r="T40" s="336" t="s">
        <v>628</v>
      </c>
      <c r="U40" s="337"/>
      <c r="V40" s="87">
        <v>49.1</v>
      </c>
      <c r="W40" s="87">
        <v>124.5</v>
      </c>
      <c r="X40" s="164">
        <v>173.4</v>
      </c>
    </row>
    <row r="41" spans="1:27" s="27" customFormat="1" ht="15.75" thickBot="1" x14ac:dyDescent="0.3">
      <c r="A41" s="357" t="s">
        <v>99</v>
      </c>
      <c r="B41" s="358"/>
      <c r="C41" s="716">
        <v>25</v>
      </c>
      <c r="D41" s="716"/>
      <c r="E41" s="358" t="s">
        <v>161</v>
      </c>
      <c r="F41" s="358"/>
      <c r="G41" s="42">
        <f>G40/C41</f>
        <v>18.95646723428823</v>
      </c>
      <c r="K41" s="388" t="s">
        <v>1329</v>
      </c>
      <c r="L41" s="389"/>
      <c r="M41" s="389"/>
      <c r="N41" s="390"/>
      <c r="S41"/>
      <c r="T41" s="336" t="s">
        <v>629</v>
      </c>
      <c r="U41" s="337"/>
      <c r="V41" s="87">
        <v>82.9</v>
      </c>
      <c r="W41" s="87">
        <v>129.69999999999999</v>
      </c>
      <c r="X41" s="164">
        <v>269.2</v>
      </c>
    </row>
    <row r="42" spans="1:27" s="27" customFormat="1" ht="15.75" thickBot="1" x14ac:dyDescent="0.3">
      <c r="K42" s="621" t="s">
        <v>1326</v>
      </c>
      <c r="L42" s="622"/>
      <c r="M42" s="622"/>
      <c r="N42" s="623"/>
      <c r="S42"/>
      <c r="T42" s="336" t="s">
        <v>630</v>
      </c>
      <c r="U42" s="337"/>
      <c r="V42" s="87">
        <v>-239.2</v>
      </c>
      <c r="W42" s="87">
        <v>-166.6</v>
      </c>
      <c r="X42" s="164">
        <v>126.8</v>
      </c>
    </row>
    <row r="43" spans="1:27" s="27" customFormat="1" ht="15.75" thickBot="1" x14ac:dyDescent="0.3">
      <c r="A43" s="388" t="s">
        <v>163</v>
      </c>
      <c r="B43" s="389"/>
      <c r="C43" s="389"/>
      <c r="D43" s="389"/>
      <c r="E43" s="389"/>
      <c r="F43" s="389"/>
      <c r="G43" s="390"/>
      <c r="K43" s="366" t="s">
        <v>1323</v>
      </c>
      <c r="L43" s="367"/>
      <c r="M43" s="367"/>
      <c r="N43" s="368"/>
      <c r="T43" s="336" t="s">
        <v>631</v>
      </c>
      <c r="U43" s="337"/>
      <c r="V43" s="87">
        <v>-201</v>
      </c>
      <c r="W43" s="87">
        <v>-162.30000000000001</v>
      </c>
      <c r="X43" s="164">
        <v>239.9</v>
      </c>
    </row>
    <row r="44" spans="1:27" s="27" customFormat="1" x14ac:dyDescent="0.25">
      <c r="A44" s="421" t="s">
        <v>405</v>
      </c>
      <c r="B44" s="422"/>
      <c r="C44" s="422"/>
      <c r="D44" s="422"/>
      <c r="E44" s="422"/>
      <c r="F44" s="422"/>
      <c r="G44" s="540"/>
      <c r="K44" s="366" t="s">
        <v>1321</v>
      </c>
      <c r="L44" s="367"/>
      <c r="M44" s="367" t="s">
        <v>162</v>
      </c>
      <c r="N44" s="368"/>
      <c r="T44" s="336" t="s">
        <v>632</v>
      </c>
      <c r="U44" s="337"/>
      <c r="V44" s="87">
        <v>-279.5</v>
      </c>
      <c r="W44" s="87">
        <v>-346.74</v>
      </c>
      <c r="X44" s="164">
        <v>253.5</v>
      </c>
    </row>
    <row r="45" spans="1:27" s="27" customFormat="1" ht="18" x14ac:dyDescent="0.35">
      <c r="A45" s="17" t="s">
        <v>187</v>
      </c>
      <c r="B45" s="21" t="s">
        <v>134</v>
      </c>
      <c r="C45" s="21" t="s">
        <v>150</v>
      </c>
      <c r="D45" s="314" t="s">
        <v>131</v>
      </c>
      <c r="E45" s="21" t="s">
        <v>152</v>
      </c>
      <c r="F45" s="663"/>
      <c r="G45" s="664"/>
      <c r="K45" s="17" t="s">
        <v>5</v>
      </c>
      <c r="L45" s="1">
        <v>3</v>
      </c>
      <c r="M45" s="21" t="s">
        <v>53</v>
      </c>
      <c r="N45" s="24">
        <v>2</v>
      </c>
      <c r="T45" s="336" t="s">
        <v>633</v>
      </c>
      <c r="U45" s="337"/>
      <c r="V45" s="87">
        <v>-1237.3</v>
      </c>
      <c r="W45" s="87">
        <v>-910.4</v>
      </c>
      <c r="X45" s="164">
        <v>212.1</v>
      </c>
    </row>
    <row r="46" spans="1:27" x14ac:dyDescent="0.25">
      <c r="A46" s="17" t="s">
        <v>88</v>
      </c>
      <c r="B46" s="1" t="s">
        <v>181</v>
      </c>
      <c r="C46" s="1">
        <f>K66</f>
        <v>1</v>
      </c>
      <c r="D46" s="1">
        <v>-125.7</v>
      </c>
      <c r="E46" s="3">
        <f>C46*D46</f>
        <v>-125.7</v>
      </c>
      <c r="F46" s="665"/>
      <c r="G46" s="666"/>
      <c r="K46" s="17" t="s">
        <v>52</v>
      </c>
      <c r="L46" s="1">
        <v>8</v>
      </c>
      <c r="M46" s="624"/>
      <c r="N46" s="625"/>
      <c r="S46" s="27"/>
      <c r="T46" s="336" t="s">
        <v>634</v>
      </c>
      <c r="U46" s="337"/>
      <c r="V46" s="87">
        <v>-110.5</v>
      </c>
      <c r="W46" s="87">
        <v>-137.19999999999999</v>
      </c>
      <c r="X46" s="164">
        <v>197.7</v>
      </c>
      <c r="Y46" s="27"/>
      <c r="Z46" s="27"/>
      <c r="AA46" s="27"/>
    </row>
    <row r="47" spans="1:27" ht="18" x14ac:dyDescent="0.35">
      <c r="A47" s="17" t="s">
        <v>133</v>
      </c>
      <c r="B47" s="21" t="s">
        <v>49</v>
      </c>
      <c r="C47" s="1">
        <f>K67</f>
        <v>5</v>
      </c>
      <c r="D47" s="21">
        <v>0</v>
      </c>
      <c r="E47" s="3">
        <f t="shared" ref="E47:E49" si="1">C47*D47</f>
        <v>0</v>
      </c>
      <c r="F47" s="665"/>
      <c r="G47" s="666"/>
      <c r="K47" s="366" t="s">
        <v>1322</v>
      </c>
      <c r="L47" s="367"/>
      <c r="M47" s="367"/>
      <c r="N47" s="368"/>
      <c r="S47" s="27"/>
      <c r="T47" s="336" t="s">
        <v>635</v>
      </c>
      <c r="U47" s="337"/>
      <c r="V47" s="87">
        <v>-393.5</v>
      </c>
      <c r="W47" s="87">
        <v>-394.4</v>
      </c>
      <c r="X47" s="164">
        <v>213.8</v>
      </c>
      <c r="Y47" s="27"/>
      <c r="Z47" s="27"/>
      <c r="AA47" s="27"/>
    </row>
    <row r="48" spans="1:27" ht="18" x14ac:dyDescent="0.35">
      <c r="A48" s="17" t="s">
        <v>86</v>
      </c>
      <c r="B48" s="21" t="s">
        <v>50</v>
      </c>
      <c r="C48" s="1">
        <f>M66</f>
        <v>3</v>
      </c>
      <c r="D48" s="21">
        <v>-393.5</v>
      </c>
      <c r="E48" s="3">
        <f t="shared" si="1"/>
        <v>-1180.5</v>
      </c>
      <c r="F48" s="665"/>
      <c r="G48" s="666"/>
      <c r="K48" s="17" t="s">
        <v>5</v>
      </c>
      <c r="L48" s="21">
        <v>1</v>
      </c>
      <c r="M48" s="21" t="s">
        <v>52</v>
      </c>
      <c r="N48" s="24">
        <v>2</v>
      </c>
      <c r="S48" s="27"/>
      <c r="T48" s="336" t="s">
        <v>636</v>
      </c>
      <c r="U48" s="337"/>
      <c r="V48" s="87">
        <v>-277.60000000000002</v>
      </c>
      <c r="W48" s="87">
        <v>-174.8</v>
      </c>
      <c r="X48" s="164">
        <v>160.69999999999999</v>
      </c>
      <c r="Y48" s="27"/>
      <c r="Z48" s="27"/>
      <c r="AA48" s="27"/>
    </row>
    <row r="49" spans="1:27" ht="18" x14ac:dyDescent="0.35">
      <c r="A49" s="40" t="s">
        <v>87</v>
      </c>
      <c r="B49" s="33" t="s">
        <v>48</v>
      </c>
      <c r="C49" s="9">
        <f>M67</f>
        <v>4</v>
      </c>
      <c r="D49" s="33">
        <v>-241.8</v>
      </c>
      <c r="E49" s="3">
        <f t="shared" si="1"/>
        <v>-967.2</v>
      </c>
      <c r="F49" s="665"/>
      <c r="G49" s="666"/>
      <c r="K49" s="17" t="s">
        <v>53</v>
      </c>
      <c r="L49" s="21">
        <v>2</v>
      </c>
      <c r="M49" s="21" t="s">
        <v>53</v>
      </c>
      <c r="N49" s="24">
        <v>1</v>
      </c>
      <c r="S49" s="27"/>
      <c r="T49" s="336" t="s">
        <v>637</v>
      </c>
      <c r="U49" s="337"/>
      <c r="V49" s="87">
        <v>-234.8</v>
      </c>
      <c r="W49" s="87">
        <v>-167.9</v>
      </c>
      <c r="X49" s="164">
        <v>281.60000000000002</v>
      </c>
      <c r="Y49" s="27"/>
      <c r="Z49" s="27"/>
      <c r="AA49" s="27"/>
    </row>
    <row r="50" spans="1:27" ht="18" x14ac:dyDescent="0.35">
      <c r="A50" s="552" t="s">
        <v>140</v>
      </c>
      <c r="B50" s="553"/>
      <c r="C50" s="553"/>
      <c r="D50" s="553"/>
      <c r="E50" s="34">
        <f>E49+E48-E47-E46</f>
        <v>-2021.9999999999998</v>
      </c>
      <c r="F50" s="665"/>
      <c r="G50" s="666"/>
      <c r="K50" s="386" t="s">
        <v>1325</v>
      </c>
      <c r="L50" s="542"/>
      <c r="M50" s="542"/>
      <c r="N50" s="617"/>
      <c r="S50" s="36"/>
      <c r="T50" s="336" t="s">
        <v>638</v>
      </c>
      <c r="U50" s="337"/>
      <c r="V50" s="87">
        <v>-484.3</v>
      </c>
      <c r="W50" s="87">
        <v>-389.9</v>
      </c>
      <c r="X50" s="164">
        <v>159.80000000000001</v>
      </c>
      <c r="Y50" s="27"/>
      <c r="Z50" s="27"/>
      <c r="AA50" s="27"/>
    </row>
    <row r="51" spans="1:27" x14ac:dyDescent="0.25">
      <c r="A51" s="539" t="s">
        <v>165</v>
      </c>
      <c r="B51" s="523"/>
      <c r="C51" s="523"/>
      <c r="D51" s="523"/>
      <c r="E51" s="523"/>
      <c r="F51" s="523"/>
      <c r="G51" s="541"/>
      <c r="K51" s="366" t="s">
        <v>1323</v>
      </c>
      <c r="L51" s="367"/>
      <c r="M51" s="367" t="s">
        <v>1322</v>
      </c>
      <c r="N51" s="368"/>
      <c r="S51" s="36"/>
      <c r="T51" s="336" t="s">
        <v>639</v>
      </c>
      <c r="U51" s="337"/>
      <c r="V51" s="87">
        <v>-472.8</v>
      </c>
      <c r="W51" s="87" t="s">
        <v>602</v>
      </c>
      <c r="X51" s="164" t="s">
        <v>602</v>
      </c>
      <c r="Y51" s="27"/>
      <c r="Z51" s="27"/>
      <c r="AA51" s="27"/>
    </row>
    <row r="52" spans="1:27" x14ac:dyDescent="0.25">
      <c r="A52" s="649" t="s">
        <v>166</v>
      </c>
      <c r="B52" s="550"/>
      <c r="C52" s="551"/>
      <c r="D52" s="1">
        <v>3</v>
      </c>
      <c r="E52" s="367" t="s">
        <v>169</v>
      </c>
      <c r="F52" s="367"/>
      <c r="G52" s="368"/>
      <c r="K52" s="17">
        <v>1</v>
      </c>
      <c r="L52" s="21" t="s">
        <v>1319</v>
      </c>
      <c r="M52" s="3">
        <f>L45/L48</f>
        <v>3</v>
      </c>
      <c r="N52" s="24" t="s">
        <v>1320</v>
      </c>
      <c r="S52" s="36"/>
      <c r="T52" s="336" t="s">
        <v>640</v>
      </c>
      <c r="U52" s="337"/>
      <c r="V52" s="87">
        <v>-432.2</v>
      </c>
      <c r="W52" s="87" t="s">
        <v>602</v>
      </c>
      <c r="X52" s="164">
        <v>283.5</v>
      </c>
      <c r="Y52" s="27"/>
      <c r="Z52" s="27"/>
      <c r="AA52" s="27"/>
    </row>
    <row r="53" spans="1:27" x14ac:dyDescent="0.25">
      <c r="A53" s="366" t="s">
        <v>167</v>
      </c>
      <c r="B53" s="367"/>
      <c r="C53" s="367"/>
      <c r="D53" s="1">
        <f>Butane</f>
        <v>58.122199999999999</v>
      </c>
      <c r="E53" s="524">
        <f>D52/D53*1000</f>
        <v>51.615389644576425</v>
      </c>
      <c r="F53" s="524"/>
      <c r="G53" s="602"/>
      <c r="K53" s="17">
        <v>1</v>
      </c>
      <c r="L53" s="21" t="s">
        <v>162</v>
      </c>
      <c r="M53" s="21" t="s">
        <v>5</v>
      </c>
      <c r="N53" s="31">
        <f>M52*L48</f>
        <v>3</v>
      </c>
      <c r="S53" s="37"/>
      <c r="T53" s="336" t="s">
        <v>641</v>
      </c>
      <c r="U53" s="337"/>
      <c r="V53" s="87">
        <v>108.9</v>
      </c>
      <c r="W53" s="87">
        <v>125</v>
      </c>
      <c r="X53" s="164">
        <v>112.8</v>
      </c>
      <c r="Y53" s="27"/>
      <c r="Z53" s="27"/>
      <c r="AA53" s="27"/>
    </row>
    <row r="54" spans="1:27" x14ac:dyDescent="0.25">
      <c r="A54" s="539" t="s">
        <v>170</v>
      </c>
      <c r="B54" s="523"/>
      <c r="C54" s="523"/>
      <c r="D54" s="523"/>
      <c r="E54" s="523"/>
      <c r="F54" s="523"/>
      <c r="G54" s="541"/>
      <c r="K54" s="681"/>
      <c r="L54" s="545"/>
      <c r="M54" s="21" t="s">
        <v>162</v>
      </c>
      <c r="N54" s="31">
        <f>M52*L49</f>
        <v>6</v>
      </c>
      <c r="S54" s="39"/>
      <c r="T54" s="336" t="s">
        <v>642</v>
      </c>
      <c r="U54" s="337"/>
      <c r="V54" s="87">
        <v>135.1</v>
      </c>
      <c r="W54" s="87">
        <v>124.7</v>
      </c>
      <c r="X54" s="164">
        <v>201.8</v>
      </c>
      <c r="Y54" s="27"/>
      <c r="Z54" s="27"/>
      <c r="AA54" s="27"/>
    </row>
    <row r="55" spans="1:27" x14ac:dyDescent="0.25">
      <c r="A55" s="366" t="s">
        <v>380</v>
      </c>
      <c r="B55" s="367"/>
      <c r="C55" s="367"/>
      <c r="D55" s="367"/>
      <c r="E55" s="524">
        <f>C46</f>
        <v>1</v>
      </c>
      <c r="F55" s="524"/>
      <c r="G55" s="602"/>
      <c r="K55" s="484"/>
      <c r="L55" s="682"/>
      <c r="M55" s="3">
        <f>L46/N48</f>
        <v>4</v>
      </c>
      <c r="N55" s="24" t="s">
        <v>1316</v>
      </c>
      <c r="S55" s="39"/>
      <c r="T55" s="336" t="s">
        <v>643</v>
      </c>
      <c r="U55" s="337"/>
      <c r="V55" s="87">
        <v>93.8</v>
      </c>
      <c r="W55" s="87" t="s">
        <v>602</v>
      </c>
      <c r="X55" s="164" t="s">
        <v>602</v>
      </c>
      <c r="Y55" s="27"/>
      <c r="Z55" s="27"/>
      <c r="AA55" s="27"/>
    </row>
    <row r="56" spans="1:27" x14ac:dyDescent="0.25">
      <c r="A56" s="366" t="s">
        <v>381</v>
      </c>
      <c r="B56" s="367"/>
      <c r="C56" s="367"/>
      <c r="D56" s="367"/>
      <c r="E56" s="524">
        <f>E53/E55</f>
        <v>51.615389644576425</v>
      </c>
      <c r="F56" s="524"/>
      <c r="G56" s="602"/>
      <c r="K56" s="484"/>
      <c r="L56" s="682"/>
      <c r="M56" s="21" t="s">
        <v>543</v>
      </c>
      <c r="N56" s="31">
        <f>M55*N48</f>
        <v>8</v>
      </c>
      <c r="S56" s="38"/>
      <c r="T56" s="336" t="s">
        <v>644</v>
      </c>
      <c r="U56" s="337"/>
      <c r="V56" s="87">
        <v>89</v>
      </c>
      <c r="W56" s="87">
        <v>64.599999999999994</v>
      </c>
      <c r="X56" s="164">
        <v>151.30000000000001</v>
      </c>
      <c r="Y56" s="27"/>
      <c r="Z56" s="27"/>
      <c r="AA56" s="27"/>
    </row>
    <row r="57" spans="1:27" x14ac:dyDescent="0.25">
      <c r="A57" s="366" t="s">
        <v>171</v>
      </c>
      <c r="B57" s="367"/>
      <c r="C57" s="367"/>
      <c r="D57" s="367"/>
      <c r="E57" s="524">
        <f>E56*-E50</f>
        <v>104366.31786133352</v>
      </c>
      <c r="F57" s="524"/>
      <c r="G57" s="602"/>
      <c r="K57" s="683"/>
      <c r="L57" s="548"/>
      <c r="M57" s="21" t="s">
        <v>53</v>
      </c>
      <c r="N57" s="31">
        <f>M55*N49</f>
        <v>4</v>
      </c>
      <c r="S57" s="38"/>
      <c r="T57" s="336" t="s">
        <v>645</v>
      </c>
      <c r="U57" s="337"/>
      <c r="V57" s="87">
        <v>116.7</v>
      </c>
      <c r="W57" s="87">
        <v>67.099999999999994</v>
      </c>
      <c r="X57" s="164">
        <v>237.8</v>
      </c>
      <c r="Y57" s="27"/>
      <c r="Z57" s="27"/>
      <c r="AA57" s="27"/>
    </row>
    <row r="58" spans="1:27" ht="17.25" x14ac:dyDescent="0.25">
      <c r="A58" s="704" t="s">
        <v>406</v>
      </c>
      <c r="B58" s="705"/>
      <c r="C58" s="705"/>
      <c r="D58" s="705"/>
      <c r="E58" s="705"/>
      <c r="F58" s="705"/>
      <c r="G58" s="706"/>
      <c r="K58" s="386" t="s">
        <v>1324</v>
      </c>
      <c r="L58" s="542"/>
      <c r="M58" s="542"/>
      <c r="N58" s="617"/>
      <c r="T58" s="353" t="s">
        <v>646</v>
      </c>
      <c r="U58" s="354"/>
      <c r="V58" s="354"/>
      <c r="W58" s="354"/>
      <c r="X58" s="355"/>
      <c r="Y58" s="27"/>
      <c r="Z58" s="27"/>
      <c r="AA58" s="27"/>
    </row>
    <row r="59" spans="1:27" ht="17.25" x14ac:dyDescent="0.25">
      <c r="A59" s="366" t="s">
        <v>172</v>
      </c>
      <c r="B59" s="367"/>
      <c r="C59" s="367"/>
      <c r="D59" s="1">
        <v>260</v>
      </c>
      <c r="E59" s="367" t="s">
        <v>173</v>
      </c>
      <c r="F59" s="367"/>
      <c r="G59" s="31">
        <f>(4/3)*PI()*((D59/100)^3)</f>
        <v>73.622176639325616</v>
      </c>
      <c r="K59" s="366" t="s">
        <v>1323</v>
      </c>
      <c r="L59" s="367"/>
      <c r="M59" s="367" t="s">
        <v>1322</v>
      </c>
      <c r="N59" s="368"/>
      <c r="T59" s="336" t="s">
        <v>647</v>
      </c>
      <c r="U59" s="337"/>
      <c r="V59" s="87">
        <v>0</v>
      </c>
      <c r="W59" s="87">
        <v>0</v>
      </c>
      <c r="X59" s="164">
        <v>223.1</v>
      </c>
      <c r="Y59" s="27"/>
      <c r="Z59" s="27"/>
      <c r="AA59" s="27"/>
    </row>
    <row r="60" spans="1:27" x14ac:dyDescent="0.25">
      <c r="A60" s="539" t="s">
        <v>407</v>
      </c>
      <c r="B60" s="523"/>
      <c r="C60" s="523"/>
      <c r="D60" s="523"/>
      <c r="E60" s="523"/>
      <c r="F60" s="523"/>
      <c r="G60" s="541"/>
      <c r="K60" s="17" t="s">
        <v>1319</v>
      </c>
      <c r="L60" s="3">
        <f>K52</f>
        <v>1</v>
      </c>
      <c r="M60" s="21" t="s">
        <v>53</v>
      </c>
      <c r="N60" s="31">
        <f>N54+N57</f>
        <v>10</v>
      </c>
      <c r="T60" s="336" t="s">
        <v>648</v>
      </c>
      <c r="U60" s="337"/>
      <c r="V60" s="87" t="s">
        <v>602</v>
      </c>
      <c r="W60" s="87">
        <v>-131.19999999999999</v>
      </c>
      <c r="X60" s="164" t="s">
        <v>602</v>
      </c>
      <c r="Y60" s="27"/>
      <c r="Z60" s="27"/>
      <c r="AA60" s="27"/>
    </row>
    <row r="61" spans="1:27" ht="17.25" x14ac:dyDescent="0.25">
      <c r="A61" s="366" t="s">
        <v>174</v>
      </c>
      <c r="B61" s="367"/>
      <c r="C61" s="21">
        <v>0.94599999999999995</v>
      </c>
      <c r="D61" s="367" t="s">
        <v>175</v>
      </c>
      <c r="E61" s="367"/>
      <c r="F61" s="524">
        <f>C61*G59</f>
        <v>69.646579100802029</v>
      </c>
      <c r="G61" s="602"/>
      <c r="K61" s="17" t="s">
        <v>162</v>
      </c>
      <c r="L61" s="3">
        <f>N45*K53</f>
        <v>2</v>
      </c>
      <c r="M61" s="543"/>
      <c r="N61" s="618"/>
      <c r="T61" s="336" t="s">
        <v>649</v>
      </c>
      <c r="U61" s="337"/>
      <c r="V61" s="87">
        <v>-167</v>
      </c>
      <c r="W61" s="87" t="s">
        <v>602</v>
      </c>
      <c r="X61" s="164" t="s">
        <v>602</v>
      </c>
      <c r="Y61" s="27"/>
      <c r="Z61" s="27"/>
      <c r="AA61" s="27"/>
    </row>
    <row r="62" spans="1:27" ht="18" x14ac:dyDescent="0.35">
      <c r="A62" s="649" t="s">
        <v>177</v>
      </c>
      <c r="B62" s="551"/>
      <c r="C62" s="233">
        <v>1.0089999999999999</v>
      </c>
      <c r="D62" s="381" t="s">
        <v>176</v>
      </c>
      <c r="E62" s="381"/>
      <c r="F62" s="509">
        <f>C62*F61*C63</f>
        <v>5270.5048734531929</v>
      </c>
      <c r="G62" s="615"/>
      <c r="K62" s="322">
        <f>N60/L61</f>
        <v>5</v>
      </c>
      <c r="L62" s="21" t="s">
        <v>162</v>
      </c>
      <c r="M62" s="619"/>
      <c r="N62" s="486"/>
      <c r="T62" s="336" t="s">
        <v>650</v>
      </c>
      <c r="U62" s="337"/>
      <c r="V62" s="87">
        <v>-92.3</v>
      </c>
      <c r="W62" s="87">
        <v>-95.3</v>
      </c>
      <c r="X62" s="164">
        <v>186.9</v>
      </c>
      <c r="Y62" s="27"/>
      <c r="Z62" s="27"/>
      <c r="AA62" s="27"/>
    </row>
    <row r="63" spans="1:27" s="27" customFormat="1" x14ac:dyDescent="0.25">
      <c r="A63" s="649" t="s">
        <v>184</v>
      </c>
      <c r="B63" s="551"/>
      <c r="C63" s="41">
        <v>75</v>
      </c>
      <c r="D63" s="381"/>
      <c r="E63" s="381"/>
      <c r="F63" s="509"/>
      <c r="G63" s="615"/>
      <c r="K63" s="322">
        <f>IF(INT(K62)=K62,K62,N60)</f>
        <v>5</v>
      </c>
      <c r="L63" s="21" t="s">
        <v>162</v>
      </c>
      <c r="M63" s="546"/>
      <c r="N63" s="620"/>
      <c r="R63"/>
      <c r="S63"/>
      <c r="T63" s="348" t="s">
        <v>651</v>
      </c>
      <c r="U63" s="349"/>
      <c r="V63" s="349"/>
      <c r="W63" s="349"/>
      <c r="X63" s="350"/>
    </row>
    <row r="64" spans="1:27" x14ac:dyDescent="0.25">
      <c r="A64" s="539" t="s">
        <v>178</v>
      </c>
      <c r="B64" s="523"/>
      <c r="C64" s="523"/>
      <c r="D64" s="523"/>
      <c r="E64" s="523"/>
      <c r="F64" s="523"/>
      <c r="G64" s="541"/>
      <c r="K64" s="386" t="s">
        <v>1327</v>
      </c>
      <c r="L64" s="542"/>
      <c r="M64" s="542"/>
      <c r="N64" s="617"/>
      <c r="T64" s="336" t="s">
        <v>652</v>
      </c>
      <c r="U64" s="337"/>
      <c r="V64" s="87" t="s">
        <v>602</v>
      </c>
      <c r="W64" s="87">
        <v>-727.8</v>
      </c>
      <c r="X64" s="164" t="s">
        <v>602</v>
      </c>
      <c r="Y64" s="27"/>
      <c r="Z64" s="27"/>
      <c r="AA64" s="27"/>
    </row>
    <row r="65" spans="1:27" x14ac:dyDescent="0.25">
      <c r="A65" s="366" t="s">
        <v>179</v>
      </c>
      <c r="B65" s="367"/>
      <c r="C65" s="367"/>
      <c r="D65" s="367"/>
      <c r="E65" s="367"/>
      <c r="F65" s="708">
        <f>E57/F62</f>
        <v>19.8019583260443</v>
      </c>
      <c r="G65" s="709"/>
      <c r="K65" s="366" t="s">
        <v>1323</v>
      </c>
      <c r="L65" s="367"/>
      <c r="M65" s="367" t="s">
        <v>1322</v>
      </c>
      <c r="N65" s="368"/>
      <c r="T65" s="348" t="s">
        <v>653</v>
      </c>
      <c r="U65" s="349"/>
      <c r="V65" s="349"/>
      <c r="W65" s="349"/>
      <c r="X65" s="350"/>
      <c r="Y65" s="27"/>
      <c r="Z65" s="27"/>
      <c r="AA65" s="27"/>
    </row>
    <row r="66" spans="1:27" ht="15.75" thickBot="1" x14ac:dyDescent="0.3">
      <c r="A66" s="357" t="s">
        <v>1328</v>
      </c>
      <c r="B66" s="358"/>
      <c r="C66" s="358"/>
      <c r="D66" s="358"/>
      <c r="E66" s="358"/>
      <c r="F66" s="626">
        <f>TRUNC(F65)</f>
        <v>19</v>
      </c>
      <c r="G66" s="627"/>
      <c r="H66" s="27"/>
      <c r="K66" s="323">
        <f>IF(K63=K62,L60,L60*L61)</f>
        <v>1</v>
      </c>
      <c r="L66" s="21" t="s">
        <v>1319</v>
      </c>
      <c r="M66" s="6">
        <f>IF(K63=K62,M52,M52*L61)</f>
        <v>3</v>
      </c>
      <c r="N66" s="24" t="s">
        <v>1320</v>
      </c>
      <c r="T66" s="336" t="s">
        <v>654</v>
      </c>
      <c r="U66" s="337"/>
      <c r="V66" s="87">
        <v>0</v>
      </c>
      <c r="W66" s="87">
        <v>0</v>
      </c>
      <c r="X66" s="164">
        <v>202.8</v>
      </c>
      <c r="Y66" s="27"/>
      <c r="Z66" s="27"/>
      <c r="AA66" s="27"/>
    </row>
    <row r="67" spans="1:27" ht="15.75" thickBot="1" x14ac:dyDescent="0.3">
      <c r="K67" s="324">
        <f>K63</f>
        <v>5</v>
      </c>
      <c r="L67" s="16" t="s">
        <v>162</v>
      </c>
      <c r="M67" s="12">
        <f>IF(K63=K62,M55,M55*L61)</f>
        <v>4</v>
      </c>
      <c r="N67" s="89" t="s">
        <v>1316</v>
      </c>
      <c r="T67" s="336" t="s">
        <v>655</v>
      </c>
      <c r="U67" s="337"/>
      <c r="V67" s="87">
        <v>-273.3</v>
      </c>
      <c r="W67" s="87">
        <v>-275.39999999999998</v>
      </c>
      <c r="X67" s="164">
        <v>173.8</v>
      </c>
      <c r="Y67" s="27"/>
      <c r="Z67" s="27"/>
      <c r="AA67" s="27"/>
    </row>
    <row r="68" spans="1:27" ht="15.75" thickBot="1" x14ac:dyDescent="0.3">
      <c r="A68" s="632" t="s">
        <v>132</v>
      </c>
      <c r="B68" s="633"/>
      <c r="C68" s="633"/>
      <c r="D68" s="633"/>
      <c r="E68" s="633"/>
      <c r="F68" s="633"/>
      <c r="G68" s="633"/>
      <c r="H68" s="634"/>
      <c r="S68" s="27"/>
      <c r="T68" s="348" t="s">
        <v>656</v>
      </c>
      <c r="U68" s="349"/>
      <c r="V68" s="349"/>
      <c r="W68" s="349"/>
      <c r="X68" s="350"/>
      <c r="Y68" s="27"/>
      <c r="Z68" s="27"/>
      <c r="AA68" s="27"/>
    </row>
    <row r="69" spans="1:27" ht="18.75" thickBot="1" x14ac:dyDescent="0.4">
      <c r="A69" s="22" t="s">
        <v>35</v>
      </c>
      <c r="B69" s="628" t="s">
        <v>55</v>
      </c>
      <c r="C69" s="628"/>
      <c r="D69" s="628"/>
      <c r="E69" s="628" t="s">
        <v>36</v>
      </c>
      <c r="F69" s="628"/>
      <c r="G69" s="628"/>
      <c r="H69" s="629"/>
      <c r="K69" s="388" t="s">
        <v>114</v>
      </c>
      <c r="L69" s="389"/>
      <c r="M69" s="389"/>
      <c r="N69" s="389"/>
      <c r="O69" s="389"/>
      <c r="P69" s="389"/>
      <c r="Q69" s="389"/>
      <c r="R69" s="390"/>
      <c r="T69" s="336" t="s">
        <v>657</v>
      </c>
      <c r="U69" s="337"/>
      <c r="V69" s="87">
        <v>0</v>
      </c>
      <c r="W69" s="87">
        <v>0</v>
      </c>
      <c r="X69" s="164">
        <v>130.69999999999999</v>
      </c>
      <c r="Y69" s="27"/>
      <c r="Z69" s="27"/>
      <c r="AA69" s="27"/>
    </row>
    <row r="70" spans="1:27" ht="18" x14ac:dyDescent="0.35">
      <c r="A70" s="17" t="s">
        <v>187</v>
      </c>
      <c r="B70" s="21" t="s">
        <v>134</v>
      </c>
      <c r="C70" s="21" t="s">
        <v>382</v>
      </c>
      <c r="D70" s="21" t="s">
        <v>135</v>
      </c>
      <c r="E70" s="367" t="s">
        <v>140</v>
      </c>
      <c r="F70" s="367"/>
      <c r="G70" s="367"/>
      <c r="H70" s="368"/>
      <c r="K70" s="363" t="s">
        <v>110</v>
      </c>
      <c r="L70" s="364"/>
      <c r="M70" s="364" t="s">
        <v>376</v>
      </c>
      <c r="N70" s="364"/>
      <c r="O70" s="364" t="s">
        <v>112</v>
      </c>
      <c r="P70" s="364"/>
      <c r="Q70" s="364" t="s">
        <v>115</v>
      </c>
      <c r="R70" s="365"/>
      <c r="T70" s="336" t="s">
        <v>658</v>
      </c>
      <c r="U70" s="337"/>
      <c r="V70" s="87"/>
      <c r="W70" s="87"/>
      <c r="X70" s="164"/>
      <c r="Y70" s="27"/>
      <c r="Z70" s="27"/>
      <c r="AA70" s="27"/>
    </row>
    <row r="71" spans="1:27" x14ac:dyDescent="0.25">
      <c r="A71" s="17" t="s">
        <v>88</v>
      </c>
      <c r="B71" s="1" t="s">
        <v>138</v>
      </c>
      <c r="C71" s="1">
        <f>K66</f>
        <v>1</v>
      </c>
      <c r="D71" s="21"/>
      <c r="E71" s="524">
        <f>(C73*D73+C74*D74)-(C71*D71-C72*D72)</f>
        <v>-2147.6999999999998</v>
      </c>
      <c r="F71" s="524"/>
      <c r="G71" s="524"/>
      <c r="H71" s="602"/>
      <c r="K71" s="462" t="s">
        <v>543</v>
      </c>
      <c r="L71" s="463"/>
      <c r="M71" s="463">
        <v>2</v>
      </c>
      <c r="N71" s="463"/>
      <c r="O71" s="463">
        <v>436</v>
      </c>
      <c r="P71" s="463"/>
      <c r="Q71" s="524">
        <f>M71*O71</f>
        <v>872</v>
      </c>
      <c r="R71" s="602"/>
      <c r="T71" s="336" t="s">
        <v>659</v>
      </c>
      <c r="U71" s="337"/>
      <c r="V71" s="87">
        <v>0</v>
      </c>
      <c r="W71" s="87">
        <v>0</v>
      </c>
      <c r="X71" s="164">
        <v>27.3</v>
      </c>
      <c r="Y71" s="27"/>
      <c r="Z71" s="27"/>
      <c r="AA71" s="27"/>
    </row>
    <row r="72" spans="1:27" ht="18" x14ac:dyDescent="0.35">
      <c r="A72" s="17" t="s">
        <v>133</v>
      </c>
      <c r="B72" s="21" t="s">
        <v>49</v>
      </c>
      <c r="C72" s="1">
        <f>K67</f>
        <v>5</v>
      </c>
      <c r="D72" s="21">
        <v>0</v>
      </c>
      <c r="E72" s="367" t="s">
        <v>727</v>
      </c>
      <c r="F72" s="367"/>
      <c r="G72" s="524">
        <f>(C76*C77*C78)/1000</f>
        <v>226.06152000000003</v>
      </c>
      <c r="H72" s="602"/>
      <c r="K72" s="462" t="s">
        <v>162</v>
      </c>
      <c r="L72" s="463"/>
      <c r="M72" s="463">
        <v>1</v>
      </c>
      <c r="N72" s="463"/>
      <c r="O72" s="463">
        <v>498</v>
      </c>
      <c r="P72" s="463"/>
      <c r="Q72" s="524">
        <f>M72*O72</f>
        <v>498</v>
      </c>
      <c r="R72" s="602"/>
      <c r="T72" s="336" t="s">
        <v>660</v>
      </c>
      <c r="U72" s="337"/>
      <c r="V72" s="87">
        <v>-399.5</v>
      </c>
      <c r="W72" s="87">
        <v>-334</v>
      </c>
      <c r="X72" s="164">
        <v>142.30000000000001</v>
      </c>
      <c r="Y72" s="27"/>
      <c r="Z72" s="27"/>
      <c r="AA72" s="27"/>
    </row>
    <row r="73" spans="1:27" ht="18" x14ac:dyDescent="0.35">
      <c r="A73" s="17" t="s">
        <v>86</v>
      </c>
      <c r="B73" s="21" t="s">
        <v>50</v>
      </c>
      <c r="C73" s="1">
        <f>M66</f>
        <v>3</v>
      </c>
      <c r="D73" s="21">
        <v>-393.5</v>
      </c>
      <c r="E73" s="367" t="s">
        <v>146</v>
      </c>
      <c r="F73" s="367"/>
      <c r="G73" s="367"/>
      <c r="H73" s="368"/>
      <c r="K73" s="462"/>
      <c r="L73" s="463"/>
      <c r="M73" s="463"/>
      <c r="N73" s="463"/>
      <c r="O73" s="463"/>
      <c r="P73" s="463"/>
      <c r="Q73" s="524"/>
      <c r="R73" s="602"/>
      <c r="T73" s="336" t="s">
        <v>661</v>
      </c>
      <c r="U73" s="337"/>
      <c r="V73" s="87">
        <v>-824.2</v>
      </c>
      <c r="W73" s="87">
        <v>-742.2</v>
      </c>
      <c r="X73" s="164">
        <v>87.4</v>
      </c>
      <c r="Y73" s="27"/>
      <c r="Z73" s="27"/>
      <c r="AA73" s="27"/>
    </row>
    <row r="74" spans="1:27" ht="18" x14ac:dyDescent="0.35">
      <c r="A74" s="17" t="s">
        <v>87</v>
      </c>
      <c r="B74" s="21" t="s">
        <v>48</v>
      </c>
      <c r="C74" s="1">
        <f>M67</f>
        <v>4</v>
      </c>
      <c r="D74" s="21">
        <v>-241.8</v>
      </c>
      <c r="E74" s="303" t="s">
        <v>147</v>
      </c>
      <c r="F74" s="1">
        <v>5</v>
      </c>
      <c r="G74" s="303" t="s">
        <v>148</v>
      </c>
      <c r="H74" s="19">
        <f>C_*4+H*6</f>
        <v>54.090440000000001</v>
      </c>
      <c r="K74" s="678"/>
      <c r="L74" s="679"/>
      <c r="M74" s="679"/>
      <c r="N74" s="680"/>
      <c r="O74" s="367" t="s">
        <v>139</v>
      </c>
      <c r="P74" s="367"/>
      <c r="Q74" s="524">
        <f>SUM(Q71:R73)</f>
        <v>1370</v>
      </c>
      <c r="R74" s="602"/>
      <c r="T74" s="353" t="s">
        <v>662</v>
      </c>
      <c r="U74" s="354"/>
      <c r="V74" s="354"/>
      <c r="W74" s="354"/>
      <c r="X74" s="355"/>
      <c r="Y74" s="27"/>
      <c r="Z74" s="27"/>
      <c r="AA74" s="27"/>
    </row>
    <row r="75" spans="1:27" x14ac:dyDescent="0.25">
      <c r="A75" s="386" t="s">
        <v>144</v>
      </c>
      <c r="B75" s="542"/>
      <c r="C75" s="542"/>
      <c r="D75" s="542"/>
      <c r="E75" s="367" t="s">
        <v>149</v>
      </c>
      <c r="F75" s="367"/>
      <c r="G75" s="524">
        <f>(F74/H74)/C71</f>
        <v>9.2437776435170427E-2</v>
      </c>
      <c r="H75" s="602"/>
      <c r="K75" s="366" t="s">
        <v>111</v>
      </c>
      <c r="L75" s="367"/>
      <c r="M75" s="367" t="s">
        <v>377</v>
      </c>
      <c r="N75" s="367"/>
      <c r="O75" s="367" t="s">
        <v>113</v>
      </c>
      <c r="P75" s="367"/>
      <c r="Q75" s="367" t="s">
        <v>116</v>
      </c>
      <c r="R75" s="368"/>
      <c r="T75" s="336" t="s">
        <v>663</v>
      </c>
      <c r="U75" s="337"/>
      <c r="V75" s="87" t="s">
        <v>602</v>
      </c>
      <c r="W75" s="87">
        <v>-24.4</v>
      </c>
      <c r="X75" s="164" t="s">
        <v>602</v>
      </c>
      <c r="Y75" s="27"/>
      <c r="Z75" s="27"/>
      <c r="AA75" s="27"/>
    </row>
    <row r="76" spans="1:27" ht="18" x14ac:dyDescent="0.35">
      <c r="A76" s="366" t="s">
        <v>145</v>
      </c>
      <c r="B76" s="367"/>
      <c r="C76" s="463">
        <f>30*1000</f>
        <v>30000</v>
      </c>
      <c r="D76" s="463"/>
      <c r="E76" s="367" t="s">
        <v>294</v>
      </c>
      <c r="F76" s="367"/>
      <c r="G76" s="367"/>
      <c r="H76" s="368"/>
      <c r="K76" s="462" t="s">
        <v>1316</v>
      </c>
      <c r="L76" s="463"/>
      <c r="M76" s="463">
        <v>2</v>
      </c>
      <c r="N76" s="463"/>
      <c r="O76" s="463">
        <f>436+(140/2)</f>
        <v>506</v>
      </c>
      <c r="P76" s="463"/>
      <c r="Q76" s="524">
        <f>M76*O76</f>
        <v>1012</v>
      </c>
      <c r="R76" s="602"/>
      <c r="T76" s="336" t="s">
        <v>664</v>
      </c>
      <c r="U76" s="337"/>
      <c r="V76" s="87">
        <v>-278.7</v>
      </c>
      <c r="W76" s="87">
        <v>-261.89999999999998</v>
      </c>
      <c r="X76" s="164">
        <v>161.5</v>
      </c>
      <c r="Y76" s="27"/>
      <c r="Z76" s="27"/>
      <c r="AA76" s="27"/>
    </row>
    <row r="77" spans="1:27" ht="18" x14ac:dyDescent="0.35">
      <c r="A77" s="366" t="s">
        <v>142</v>
      </c>
      <c r="B77" s="367"/>
      <c r="C77" s="463">
        <v>1.8009999999999999</v>
      </c>
      <c r="D77" s="463"/>
      <c r="E77" s="524">
        <f>-G72/G75</f>
        <v>-2445.5534167737605</v>
      </c>
      <c r="F77" s="524"/>
      <c r="G77" s="524"/>
      <c r="H77" s="602"/>
      <c r="K77" s="462"/>
      <c r="L77" s="463"/>
      <c r="M77" s="463"/>
      <c r="N77" s="463"/>
      <c r="O77" s="463"/>
      <c r="P77" s="463"/>
      <c r="Q77" s="524">
        <f>M77*O77</f>
        <v>0</v>
      </c>
      <c r="R77" s="602"/>
      <c r="T77" s="336" t="s">
        <v>665</v>
      </c>
      <c r="U77" s="337"/>
      <c r="V77" s="87">
        <v>-100.4</v>
      </c>
      <c r="W77" s="87">
        <v>-98.7</v>
      </c>
      <c r="X77" s="164">
        <v>91.2</v>
      </c>
      <c r="Y77" s="27"/>
      <c r="Z77" s="27"/>
      <c r="AA77" s="27"/>
    </row>
    <row r="78" spans="1:27" ht="18" x14ac:dyDescent="0.35">
      <c r="A78" s="366" t="s">
        <v>143</v>
      </c>
      <c r="B78" s="367"/>
      <c r="C78" s="367">
        <v>4.1840000000000002</v>
      </c>
      <c r="D78" s="367"/>
      <c r="E78" s="381" t="s">
        <v>141</v>
      </c>
      <c r="F78" s="381"/>
      <c r="G78" s="381"/>
      <c r="H78" s="490"/>
      <c r="K78" s="462"/>
      <c r="L78" s="463"/>
      <c r="M78" s="463"/>
      <c r="N78" s="463"/>
      <c r="O78" s="463"/>
      <c r="P78" s="463"/>
      <c r="Q78" s="524"/>
      <c r="R78" s="602"/>
      <c r="T78" s="336" t="s">
        <v>666</v>
      </c>
      <c r="U78" s="337"/>
      <c r="V78" s="87">
        <v>-920</v>
      </c>
      <c r="W78" s="87">
        <v>-813</v>
      </c>
      <c r="X78" s="164">
        <v>148.5</v>
      </c>
      <c r="Y78" s="27"/>
      <c r="Z78" s="27"/>
      <c r="AA78" s="27"/>
    </row>
    <row r="79" spans="1:27" ht="15.75" thickBot="1" x14ac:dyDescent="0.3">
      <c r="A79" s="630"/>
      <c r="B79" s="631"/>
      <c r="C79" s="631"/>
      <c r="D79" s="631"/>
      <c r="E79" s="465">
        <f>(E71-E77)/C71</f>
        <v>297.85341677376073</v>
      </c>
      <c r="F79" s="465"/>
      <c r="G79" s="465"/>
      <c r="H79" s="43" t="s">
        <v>183</v>
      </c>
      <c r="K79" s="650"/>
      <c r="L79" s="410"/>
      <c r="M79" s="410"/>
      <c r="N79" s="651"/>
      <c r="O79" s="549" t="s">
        <v>139</v>
      </c>
      <c r="P79" s="551"/>
      <c r="Q79" s="524">
        <f>SUM(Q76:R78)</f>
        <v>1012</v>
      </c>
      <c r="R79" s="602"/>
      <c r="T79" s="353" t="s">
        <v>667</v>
      </c>
      <c r="U79" s="354"/>
      <c r="V79" s="354"/>
      <c r="W79" s="354"/>
      <c r="X79" s="355"/>
      <c r="Y79" s="27"/>
      <c r="Z79" s="27"/>
      <c r="AA79" s="27"/>
    </row>
    <row r="80" spans="1:27" ht="15.75" thickBot="1" x14ac:dyDescent="0.3">
      <c r="K80" s="652"/>
      <c r="L80" s="419"/>
      <c r="M80" s="419"/>
      <c r="N80" s="653"/>
      <c r="O80" s="358" t="s">
        <v>370</v>
      </c>
      <c r="P80" s="358"/>
      <c r="Q80" s="465">
        <f>Q79-Q74</f>
        <v>-358</v>
      </c>
      <c r="R80" s="662"/>
      <c r="T80" s="336" t="s">
        <v>668</v>
      </c>
      <c r="U80" s="337"/>
      <c r="V80" s="87">
        <v>-641.29999999999995</v>
      </c>
      <c r="W80" s="87">
        <v>-591.79999999999995</v>
      </c>
      <c r="X80" s="164">
        <v>89.6</v>
      </c>
      <c r="Y80" s="27"/>
      <c r="Z80" s="27"/>
      <c r="AA80" s="27"/>
    </row>
    <row r="81" spans="20:27" x14ac:dyDescent="0.25">
      <c r="T81" s="336" t="s">
        <v>669</v>
      </c>
      <c r="U81" s="337"/>
      <c r="V81" s="87">
        <v>-601.6</v>
      </c>
      <c r="W81" s="87">
        <v>-569.29999999999995</v>
      </c>
      <c r="X81" s="164">
        <v>27</v>
      </c>
      <c r="Y81" s="27"/>
      <c r="Z81" s="27"/>
      <c r="AA81" s="27"/>
    </row>
    <row r="82" spans="20:27" x14ac:dyDescent="0.25">
      <c r="T82" s="353" t="s">
        <v>670</v>
      </c>
      <c r="U82" s="354"/>
      <c r="V82" s="354"/>
      <c r="W82" s="354"/>
      <c r="X82" s="355"/>
      <c r="Y82" s="27"/>
      <c r="Z82" s="27"/>
      <c r="AA82" s="27"/>
    </row>
    <row r="83" spans="20:27" x14ac:dyDescent="0.25">
      <c r="T83" s="336" t="s">
        <v>671</v>
      </c>
      <c r="U83" s="337"/>
      <c r="V83" s="87">
        <v>61.4</v>
      </c>
      <c r="W83" s="87">
        <v>31.8</v>
      </c>
      <c r="X83" s="164">
        <v>175</v>
      </c>
      <c r="Y83" s="27"/>
      <c r="Z83" s="27"/>
      <c r="AA83" s="27"/>
    </row>
    <row r="84" spans="20:27" x14ac:dyDescent="0.25">
      <c r="T84" s="336" t="s">
        <v>672</v>
      </c>
      <c r="U84" s="337"/>
      <c r="V84" s="87">
        <v>0</v>
      </c>
      <c r="W84" s="87">
        <v>0</v>
      </c>
      <c r="X84" s="164">
        <v>75.900000000000006</v>
      </c>
      <c r="Y84" s="27"/>
      <c r="Z84" s="27"/>
      <c r="AA84" s="27"/>
    </row>
    <row r="85" spans="20:27" x14ac:dyDescent="0.25">
      <c r="T85" s="336" t="s">
        <v>673</v>
      </c>
      <c r="U85" s="337"/>
      <c r="V85" s="87">
        <v>-2.29</v>
      </c>
      <c r="W85" s="87" t="s">
        <v>602</v>
      </c>
      <c r="X85" s="164" t="s">
        <v>602</v>
      </c>
      <c r="Y85" s="27"/>
      <c r="Z85" s="27"/>
      <c r="AA85" s="27"/>
    </row>
    <row r="86" spans="20:27" x14ac:dyDescent="0.25">
      <c r="T86" s="336" t="s">
        <v>674</v>
      </c>
      <c r="U86" s="337"/>
      <c r="V86" s="87" t="s">
        <v>602</v>
      </c>
      <c r="W86" s="87">
        <v>153.5</v>
      </c>
      <c r="X86" s="164" t="s">
        <v>602</v>
      </c>
      <c r="Y86" s="27"/>
      <c r="Z86" s="27"/>
      <c r="AA86" s="27"/>
    </row>
    <row r="87" spans="20:27" x14ac:dyDescent="0.25">
      <c r="T87" s="336" t="s">
        <v>675</v>
      </c>
      <c r="U87" s="337"/>
      <c r="V87" s="87" t="s">
        <v>602</v>
      </c>
      <c r="W87" s="87">
        <v>-210.7</v>
      </c>
      <c r="X87" s="164" t="s">
        <v>602</v>
      </c>
      <c r="Y87" s="27"/>
      <c r="Z87" s="27"/>
      <c r="AA87" s="27"/>
    </row>
    <row r="88" spans="20:27" x14ac:dyDescent="0.25">
      <c r="T88" s="348" t="s">
        <v>676</v>
      </c>
      <c r="U88" s="349"/>
      <c r="V88" s="349"/>
      <c r="W88" s="349"/>
      <c r="X88" s="350"/>
      <c r="Y88" s="27"/>
      <c r="Z88" s="27"/>
      <c r="AA88" s="27"/>
    </row>
    <row r="89" spans="20:27" x14ac:dyDescent="0.25">
      <c r="T89" s="336" t="s">
        <v>677</v>
      </c>
      <c r="U89" s="337"/>
      <c r="V89" s="87">
        <v>0</v>
      </c>
      <c r="W89" s="87">
        <v>0</v>
      </c>
      <c r="X89" s="164">
        <v>191.6</v>
      </c>
      <c r="Y89" s="27"/>
      <c r="Z89" s="27"/>
      <c r="AA89" s="27"/>
    </row>
    <row r="90" spans="20:27" x14ac:dyDescent="0.25">
      <c r="T90" s="336" t="s">
        <v>678</v>
      </c>
      <c r="U90" s="337"/>
      <c r="V90" s="87">
        <v>95.4</v>
      </c>
      <c r="W90" s="87">
        <v>159.4</v>
      </c>
      <c r="X90" s="164">
        <v>238.5</v>
      </c>
      <c r="Y90" s="27"/>
      <c r="Z90" s="27"/>
      <c r="AA90" s="27"/>
    </row>
    <row r="91" spans="20:27" x14ac:dyDescent="0.25">
      <c r="T91" s="336" t="s">
        <v>679</v>
      </c>
      <c r="U91" s="337"/>
      <c r="V91" s="87">
        <v>50.6</v>
      </c>
      <c r="W91" s="87">
        <v>149.30000000000001</v>
      </c>
      <c r="X91" s="164">
        <v>121.2</v>
      </c>
      <c r="Y91" s="27"/>
      <c r="Z91" s="27"/>
      <c r="AA91" s="27"/>
    </row>
    <row r="92" spans="20:27" x14ac:dyDescent="0.25">
      <c r="T92" s="336" t="s">
        <v>680</v>
      </c>
      <c r="U92" s="337"/>
      <c r="V92" s="87">
        <v>-45.9</v>
      </c>
      <c r="W92" s="87">
        <v>-16.399999999999999</v>
      </c>
      <c r="X92" s="164">
        <v>192.8</v>
      </c>
      <c r="Y92" s="27"/>
      <c r="Z92" s="27"/>
      <c r="AA92" s="27"/>
    </row>
    <row r="93" spans="20:27" x14ac:dyDescent="0.25">
      <c r="T93" s="336" t="s">
        <v>681</v>
      </c>
      <c r="U93" s="337"/>
      <c r="V93" s="87">
        <v>-69.540000000000006</v>
      </c>
      <c r="W93" s="87">
        <v>-26.5</v>
      </c>
      <c r="X93" s="164">
        <v>95.09</v>
      </c>
      <c r="Y93" s="27"/>
      <c r="Z93" s="27"/>
      <c r="AA93" s="27"/>
    </row>
    <row r="94" spans="20:27" x14ac:dyDescent="0.25">
      <c r="T94" s="336" t="s">
        <v>682</v>
      </c>
      <c r="U94" s="337"/>
      <c r="V94" s="87">
        <v>-365.6</v>
      </c>
      <c r="W94" s="87">
        <v>-183.9</v>
      </c>
      <c r="X94" s="164">
        <v>151.1</v>
      </c>
      <c r="Y94" s="27"/>
      <c r="Z94" s="27"/>
      <c r="AA94" s="27"/>
    </row>
    <row r="95" spans="20:27" x14ac:dyDescent="0.25">
      <c r="T95" s="336" t="s">
        <v>683</v>
      </c>
      <c r="U95" s="337"/>
      <c r="V95" s="87">
        <v>91.3</v>
      </c>
      <c r="W95" s="87">
        <v>87.6</v>
      </c>
      <c r="X95" s="164">
        <v>210.8</v>
      </c>
      <c r="Y95" s="27"/>
      <c r="Z95" s="27"/>
      <c r="AA95" s="27"/>
    </row>
    <row r="96" spans="20:27" x14ac:dyDescent="0.25">
      <c r="T96" s="336" t="s">
        <v>684</v>
      </c>
      <c r="U96" s="337"/>
      <c r="V96" s="87">
        <v>33.200000000000003</v>
      </c>
      <c r="W96" s="87">
        <v>51.3</v>
      </c>
      <c r="X96" s="164">
        <v>240.1</v>
      </c>
      <c r="Y96" s="27"/>
      <c r="Z96" s="27"/>
      <c r="AA96" s="27"/>
    </row>
    <row r="97" spans="20:33" x14ac:dyDescent="0.25">
      <c r="T97" s="336" t="s">
        <v>685</v>
      </c>
      <c r="U97" s="337"/>
      <c r="V97" s="87">
        <v>51.7</v>
      </c>
      <c r="W97" s="87">
        <v>66.099999999999994</v>
      </c>
      <c r="X97" s="164">
        <v>261.7</v>
      </c>
      <c r="Y97" s="27"/>
      <c r="Z97" s="27"/>
      <c r="AA97" s="27"/>
    </row>
    <row r="98" spans="20:33" x14ac:dyDescent="0.25">
      <c r="T98" s="336" t="s">
        <v>686</v>
      </c>
      <c r="U98" s="337"/>
      <c r="V98" s="87">
        <v>11.1</v>
      </c>
      <c r="W98" s="87">
        <v>99.8</v>
      </c>
      <c r="X98" s="164">
        <v>304.39999999999998</v>
      </c>
      <c r="Y98" s="27"/>
      <c r="Z98" s="27"/>
      <c r="AA98" s="27"/>
    </row>
    <row r="99" spans="20:33" x14ac:dyDescent="0.25">
      <c r="T99" s="336" t="s">
        <v>687</v>
      </c>
      <c r="U99" s="337"/>
      <c r="V99" s="87">
        <v>-79.5</v>
      </c>
      <c r="W99" s="87" t="s">
        <v>602</v>
      </c>
      <c r="X99" s="164" t="s">
        <v>602</v>
      </c>
      <c r="Y99" s="27"/>
      <c r="Z99" s="27"/>
      <c r="AA99" s="27"/>
    </row>
    <row r="100" spans="20:33" x14ac:dyDescent="0.25">
      <c r="T100" s="336" t="s">
        <v>688</v>
      </c>
      <c r="U100" s="337"/>
      <c r="V100" s="87">
        <v>-174.1</v>
      </c>
      <c r="W100" s="87">
        <v>-80.7</v>
      </c>
      <c r="X100" s="164">
        <v>155.6</v>
      </c>
      <c r="Y100" s="27"/>
      <c r="Z100" s="27"/>
      <c r="AA100" s="27"/>
    </row>
    <row r="101" spans="20:33" x14ac:dyDescent="0.25">
      <c r="T101" s="336" t="s">
        <v>689</v>
      </c>
      <c r="U101" s="337"/>
      <c r="V101" s="87">
        <v>-133.9</v>
      </c>
      <c r="W101" s="87">
        <v>-73.5</v>
      </c>
      <c r="X101" s="164">
        <v>266.89999999999998</v>
      </c>
      <c r="Y101" s="27"/>
      <c r="Z101" s="27"/>
      <c r="AA101" s="27"/>
    </row>
    <row r="102" spans="20:33" ht="15.75" thickBot="1" x14ac:dyDescent="0.3">
      <c r="T102" s="348" t="s">
        <v>194</v>
      </c>
      <c r="U102" s="349"/>
      <c r="V102" s="349"/>
      <c r="W102" s="349"/>
      <c r="X102" s="350"/>
      <c r="Y102" s="27"/>
      <c r="Z102" s="27"/>
      <c r="AA102" s="27"/>
    </row>
    <row r="103" spans="20:33" ht="15.75" thickBot="1" x14ac:dyDescent="0.3">
      <c r="T103" s="336" t="s">
        <v>690</v>
      </c>
      <c r="U103" s="337"/>
      <c r="V103" s="87" t="s">
        <v>602</v>
      </c>
      <c r="W103" s="87">
        <v>-157.19999999999999</v>
      </c>
      <c r="X103" s="164" t="s">
        <v>602</v>
      </c>
      <c r="Y103" s="27"/>
      <c r="Z103" s="342" t="s">
        <v>1372</v>
      </c>
      <c r="AA103" s="343"/>
      <c r="AB103" s="343"/>
      <c r="AC103" s="343"/>
      <c r="AD103" s="343"/>
      <c r="AE103" s="343"/>
      <c r="AF103" s="343"/>
      <c r="AG103" s="344"/>
    </row>
    <row r="104" spans="20:33" ht="18" x14ac:dyDescent="0.35">
      <c r="T104" s="336" t="s">
        <v>691</v>
      </c>
      <c r="U104" s="337"/>
      <c r="V104" s="87">
        <v>-285.8</v>
      </c>
      <c r="W104" s="87">
        <v>-237.1</v>
      </c>
      <c r="X104" s="164">
        <v>70</v>
      </c>
      <c r="Y104" s="27"/>
      <c r="Z104" s="22" t="s">
        <v>35</v>
      </c>
      <c r="AA104" s="628" t="s">
        <v>55</v>
      </c>
      <c r="AB104" s="628"/>
      <c r="AC104" s="629"/>
      <c r="AD104" s="654" t="s">
        <v>140</v>
      </c>
      <c r="AE104" s="655"/>
      <c r="AF104" s="655"/>
      <c r="AG104" s="656"/>
    </row>
    <row r="105" spans="20:33" ht="18" x14ac:dyDescent="0.35">
      <c r="T105" s="336" t="s">
        <v>692</v>
      </c>
      <c r="U105" s="337"/>
      <c r="V105" s="87">
        <v>-241.8</v>
      </c>
      <c r="W105" s="87">
        <v>-228.6</v>
      </c>
      <c r="X105" s="164">
        <v>188.8</v>
      </c>
      <c r="Y105" s="27"/>
      <c r="Z105" s="17" t="s">
        <v>187</v>
      </c>
      <c r="AA105" s="21" t="s">
        <v>134</v>
      </c>
      <c r="AB105" s="21" t="s">
        <v>382</v>
      </c>
      <c r="AC105" s="24" t="s">
        <v>135</v>
      </c>
      <c r="AD105" s="707">
        <f>AC113-AC109</f>
        <v>-6353</v>
      </c>
      <c r="AE105" s="524"/>
      <c r="AF105" s="524"/>
      <c r="AG105" s="602"/>
    </row>
    <row r="106" spans="20:33" x14ac:dyDescent="0.25">
      <c r="T106" s="336" t="s">
        <v>693</v>
      </c>
      <c r="U106" s="337"/>
      <c r="V106" s="87">
        <v>0</v>
      </c>
      <c r="W106" s="87">
        <v>0</v>
      </c>
      <c r="X106" s="164">
        <v>205.2</v>
      </c>
      <c r="Y106" s="27"/>
      <c r="Z106" s="17" t="s">
        <v>88</v>
      </c>
      <c r="AA106" s="1" t="s">
        <v>1318</v>
      </c>
      <c r="AB106" s="1">
        <v>2</v>
      </c>
      <c r="AC106" s="24"/>
      <c r="AD106" s="386" t="s">
        <v>144</v>
      </c>
      <c r="AE106" s="542"/>
      <c r="AF106" s="542"/>
      <c r="AG106" s="617"/>
    </row>
    <row r="107" spans="20:33" ht="18" x14ac:dyDescent="0.35">
      <c r="T107" s="336" t="s">
        <v>694</v>
      </c>
      <c r="U107" s="337"/>
      <c r="V107" s="87">
        <v>-187.8</v>
      </c>
      <c r="W107" s="87">
        <v>-120.4</v>
      </c>
      <c r="X107" s="164">
        <v>109.6</v>
      </c>
      <c r="Y107" s="27"/>
      <c r="Z107" s="17" t="s">
        <v>133</v>
      </c>
      <c r="AA107" s="21" t="s">
        <v>49</v>
      </c>
      <c r="AB107" s="1">
        <v>15</v>
      </c>
      <c r="AC107" s="24">
        <v>0</v>
      </c>
      <c r="AD107" s="649" t="s">
        <v>145</v>
      </c>
      <c r="AE107" s="551"/>
      <c r="AF107" s="463">
        <f>30*1000</f>
        <v>30000</v>
      </c>
      <c r="AG107" s="641"/>
    </row>
    <row r="108" spans="20:33" ht="18" x14ac:dyDescent="0.35">
      <c r="T108" s="336" t="s">
        <v>695</v>
      </c>
      <c r="U108" s="337"/>
      <c r="V108" s="87">
        <v>-136.30000000000001</v>
      </c>
      <c r="W108" s="87">
        <v>-105.6</v>
      </c>
      <c r="X108" s="164">
        <v>232.7</v>
      </c>
      <c r="Y108" s="27"/>
      <c r="Z108" s="17" t="s">
        <v>136</v>
      </c>
      <c r="AA108" s="21"/>
      <c r="AB108" s="21"/>
      <c r="AC108" s="24"/>
      <c r="AD108" s="366" t="s">
        <v>142</v>
      </c>
      <c r="AE108" s="367"/>
      <c r="AF108" s="463">
        <v>2.113</v>
      </c>
      <c r="AG108" s="641"/>
    </row>
    <row r="109" spans="20:33" ht="18" x14ac:dyDescent="0.35">
      <c r="T109" s="348" t="s">
        <v>696</v>
      </c>
      <c r="U109" s="349"/>
      <c r="V109" s="349"/>
      <c r="W109" s="349"/>
      <c r="X109" s="350"/>
      <c r="Y109" s="27"/>
      <c r="Z109" s="649" t="s">
        <v>139</v>
      </c>
      <c r="AA109" s="550"/>
      <c r="AB109" s="551"/>
      <c r="AC109" s="24">
        <f>AB106*AC106+AB107*AC107</f>
        <v>0</v>
      </c>
      <c r="AD109" s="366" t="s">
        <v>143</v>
      </c>
      <c r="AE109" s="367"/>
      <c r="AF109" s="367">
        <v>4.1840000000000002</v>
      </c>
      <c r="AG109" s="368"/>
    </row>
    <row r="110" spans="20:33" ht="18" x14ac:dyDescent="0.35">
      <c r="T110" s="336" t="s">
        <v>697</v>
      </c>
      <c r="U110" s="337"/>
      <c r="V110" s="87">
        <v>0</v>
      </c>
      <c r="W110" s="87">
        <v>0</v>
      </c>
      <c r="X110" s="164">
        <v>41</v>
      </c>
      <c r="Y110" s="27"/>
      <c r="Z110" s="17" t="s">
        <v>86</v>
      </c>
      <c r="AA110" s="21" t="s">
        <v>50</v>
      </c>
      <c r="AB110" s="1">
        <v>10</v>
      </c>
      <c r="AC110" s="24">
        <v>-393.5</v>
      </c>
      <c r="AD110" s="366" t="s">
        <v>727</v>
      </c>
      <c r="AE110" s="367"/>
      <c r="AF110" s="524">
        <f>(AF107*AF108*AF109)/1000</f>
        <v>265.22376000000003</v>
      </c>
      <c r="AG110" s="602"/>
    </row>
    <row r="111" spans="20:33" ht="18" x14ac:dyDescent="0.35">
      <c r="T111" s="336" t="s">
        <v>698</v>
      </c>
      <c r="U111" s="337"/>
      <c r="V111" s="87">
        <v>58.9</v>
      </c>
      <c r="W111" s="87">
        <v>24.4</v>
      </c>
      <c r="X111" s="164">
        <v>280</v>
      </c>
      <c r="Y111" s="27"/>
      <c r="Z111" s="17" t="s">
        <v>87</v>
      </c>
      <c r="AA111" s="21" t="s">
        <v>48</v>
      </c>
      <c r="AB111" s="1">
        <v>10</v>
      </c>
      <c r="AC111" s="24">
        <v>-241.8</v>
      </c>
      <c r="AD111" s="386" t="s">
        <v>146</v>
      </c>
      <c r="AE111" s="542"/>
      <c r="AF111" s="542"/>
      <c r="AG111" s="617"/>
    </row>
    <row r="112" spans="20:33" x14ac:dyDescent="0.25">
      <c r="T112" s="336" t="s">
        <v>699</v>
      </c>
      <c r="U112" s="337"/>
      <c r="V112" s="87">
        <v>-287</v>
      </c>
      <c r="W112" s="87">
        <v>-267.8</v>
      </c>
      <c r="X112" s="164">
        <v>311.8</v>
      </c>
      <c r="Y112" s="27"/>
      <c r="Z112" s="17" t="s">
        <v>137</v>
      </c>
      <c r="AA112" s="44"/>
      <c r="AB112" s="21"/>
      <c r="AC112" s="24"/>
      <c r="AD112" s="25" t="s">
        <v>147</v>
      </c>
      <c r="AE112" s="1">
        <v>6</v>
      </c>
      <c r="AF112" s="26" t="s">
        <v>148</v>
      </c>
      <c r="AG112" s="19">
        <f>C_*5+H*10</f>
        <v>70.132900000000006</v>
      </c>
    </row>
    <row r="113" spans="20:33" ht="15.75" thickBot="1" x14ac:dyDescent="0.3">
      <c r="T113" s="336" t="s">
        <v>700</v>
      </c>
      <c r="U113" s="337"/>
      <c r="V113" s="87">
        <v>-319.7</v>
      </c>
      <c r="W113" s="87">
        <v>-272.3</v>
      </c>
      <c r="X113" s="164">
        <v>217.1</v>
      </c>
      <c r="Y113" s="27"/>
      <c r="Z113" s="644" t="s">
        <v>139</v>
      </c>
      <c r="AA113" s="645"/>
      <c r="AB113" s="646"/>
      <c r="AC113" s="20">
        <f>AB110*AC110+AB111*AC111+AB112*AC112</f>
        <v>-6353</v>
      </c>
      <c r="AD113" s="357" t="s">
        <v>149</v>
      </c>
      <c r="AE113" s="358"/>
      <c r="AF113" s="647">
        <f>(AE112/AG112)/AB106</f>
        <v>4.2775929699185401E-2</v>
      </c>
      <c r="AG113" s="648"/>
    </row>
    <row r="114" spans="20:33" ht="18" x14ac:dyDescent="0.35">
      <c r="T114" s="336" t="s">
        <v>701</v>
      </c>
      <c r="U114" s="337"/>
      <c r="V114" s="87">
        <v>-1594.4</v>
      </c>
      <c r="W114" s="87">
        <v>-1520.7</v>
      </c>
      <c r="X114" s="164">
        <v>300.8</v>
      </c>
      <c r="Y114" s="27"/>
      <c r="Z114" s="621" t="s">
        <v>294</v>
      </c>
      <c r="AA114" s="622"/>
      <c r="AB114" s="622"/>
      <c r="AC114" s="622"/>
      <c r="AD114" s="642">
        <f>-AF110/AF113</f>
        <v>-6200.3038125680014</v>
      </c>
      <c r="AE114" s="642"/>
      <c r="AF114" s="642"/>
      <c r="AG114" s="643"/>
    </row>
    <row r="115" spans="20:33" ht="18.75" thickBot="1" x14ac:dyDescent="0.3">
      <c r="T115" s="336" t="s">
        <v>702</v>
      </c>
      <c r="U115" s="337"/>
      <c r="V115" s="87" t="s">
        <v>602</v>
      </c>
      <c r="W115" s="87">
        <v>-1018.7</v>
      </c>
      <c r="X115" s="164" t="s">
        <v>602</v>
      </c>
      <c r="Y115" s="27"/>
      <c r="Z115" s="384" t="s">
        <v>141</v>
      </c>
      <c r="AA115" s="385"/>
      <c r="AB115" s="385"/>
      <c r="AC115" s="385"/>
      <c r="AD115" s="701">
        <f>(AC113-AD114)/AB106</f>
        <v>-76.348093715999312</v>
      </c>
      <c r="AE115" s="702"/>
      <c r="AF115" s="703"/>
      <c r="AG115" s="43" t="s">
        <v>183</v>
      </c>
    </row>
    <row r="116" spans="20:33" x14ac:dyDescent="0.25">
      <c r="T116" s="336" t="s">
        <v>703</v>
      </c>
      <c r="U116" s="337"/>
      <c r="V116" s="87">
        <v>-1271.7</v>
      </c>
      <c r="W116" s="87" t="s">
        <v>602</v>
      </c>
      <c r="X116" s="164" t="s">
        <v>602</v>
      </c>
      <c r="Y116" s="27"/>
    </row>
    <row r="117" spans="20:33" x14ac:dyDescent="0.25">
      <c r="T117" s="336" t="s">
        <v>704</v>
      </c>
      <c r="U117" s="337"/>
      <c r="V117" s="87">
        <v>-1284.4000000000001</v>
      </c>
      <c r="W117" s="87">
        <v>-1124.3</v>
      </c>
      <c r="X117" s="164">
        <v>110.5</v>
      </c>
      <c r="Y117" s="27"/>
      <c r="Z117" s="27"/>
      <c r="AA117" s="27"/>
    </row>
    <row r="118" spans="20:33" x14ac:dyDescent="0.25">
      <c r="T118" s="336" t="s">
        <v>705</v>
      </c>
      <c r="U118" s="337"/>
      <c r="V118" s="87">
        <v>-2984</v>
      </c>
      <c r="W118" s="87">
        <v>-2675.2</v>
      </c>
      <c r="X118" s="164">
        <v>228.9</v>
      </c>
      <c r="Y118" s="27"/>
      <c r="Z118" s="27"/>
      <c r="AA118" s="27"/>
    </row>
    <row r="119" spans="20:33" x14ac:dyDescent="0.25">
      <c r="T119" s="353" t="s">
        <v>706</v>
      </c>
      <c r="U119" s="354"/>
      <c r="V119" s="354"/>
      <c r="W119" s="354"/>
      <c r="X119" s="355"/>
      <c r="Y119" s="27"/>
      <c r="Z119" s="27"/>
      <c r="AA119" s="27"/>
    </row>
    <row r="120" spans="20:33" x14ac:dyDescent="0.25">
      <c r="T120" s="336" t="s">
        <v>707</v>
      </c>
      <c r="U120" s="337"/>
      <c r="V120" s="87">
        <v>-393.4</v>
      </c>
      <c r="W120" s="87">
        <v>-380.7</v>
      </c>
      <c r="X120" s="164">
        <v>95.9</v>
      </c>
      <c r="Y120" s="27"/>
      <c r="Z120" s="27"/>
      <c r="AA120" s="27"/>
    </row>
    <row r="121" spans="20:33" x14ac:dyDescent="0.25">
      <c r="T121" s="336" t="s">
        <v>708</v>
      </c>
      <c r="U121" s="337"/>
      <c r="V121" s="87">
        <v>-492.7</v>
      </c>
      <c r="W121" s="87">
        <v>-393.13</v>
      </c>
      <c r="X121" s="164">
        <v>132.9</v>
      </c>
      <c r="Y121" s="27"/>
      <c r="Z121" s="27"/>
      <c r="AA121" s="27"/>
    </row>
    <row r="122" spans="20:33" x14ac:dyDescent="0.25">
      <c r="T122" s="348" t="s">
        <v>709</v>
      </c>
      <c r="U122" s="349"/>
      <c r="V122" s="349"/>
      <c r="W122" s="349"/>
      <c r="X122" s="350"/>
      <c r="Y122" s="27"/>
      <c r="Z122" s="27"/>
      <c r="AA122" s="27"/>
    </row>
    <row r="123" spans="20:33" x14ac:dyDescent="0.25">
      <c r="T123" s="336" t="s">
        <v>710</v>
      </c>
      <c r="U123" s="337"/>
      <c r="V123" s="87" t="s">
        <v>602</v>
      </c>
      <c r="W123" s="87">
        <v>77.099999999999994</v>
      </c>
      <c r="X123" s="164" t="s">
        <v>602</v>
      </c>
      <c r="Y123" s="27"/>
      <c r="Z123" s="27"/>
      <c r="AA123" s="27"/>
    </row>
    <row r="124" spans="20:33" x14ac:dyDescent="0.25">
      <c r="T124" s="336" t="s">
        <v>711</v>
      </c>
      <c r="U124" s="337"/>
      <c r="V124" s="87" t="s">
        <v>602</v>
      </c>
      <c r="W124" s="87">
        <v>-641.79999999999995</v>
      </c>
      <c r="X124" s="164" t="s">
        <v>602</v>
      </c>
      <c r="Y124" s="27"/>
      <c r="Z124" s="27"/>
      <c r="AA124" s="27"/>
    </row>
    <row r="125" spans="20:33" x14ac:dyDescent="0.25">
      <c r="T125" s="353" t="s">
        <v>712</v>
      </c>
      <c r="U125" s="354"/>
      <c r="V125" s="354"/>
      <c r="W125" s="354"/>
      <c r="X125" s="355"/>
      <c r="Y125" s="27"/>
      <c r="Z125" s="27"/>
      <c r="AA125" s="27"/>
    </row>
    <row r="126" spans="20:33" x14ac:dyDescent="0.25">
      <c r="T126" s="336" t="s">
        <v>713</v>
      </c>
      <c r="U126" s="337"/>
      <c r="V126" s="87">
        <v>-411.2</v>
      </c>
      <c r="W126" s="87" t="s">
        <v>602</v>
      </c>
      <c r="X126" s="164" t="s">
        <v>602</v>
      </c>
      <c r="Y126" s="27"/>
      <c r="Z126" s="27"/>
      <c r="AA126" s="27"/>
    </row>
    <row r="127" spans="20:33" x14ac:dyDescent="0.25">
      <c r="T127" s="336" t="s">
        <v>714</v>
      </c>
      <c r="U127" s="337"/>
      <c r="V127" s="87">
        <v>-425.8</v>
      </c>
      <c r="W127" s="87" t="s">
        <v>602</v>
      </c>
      <c r="X127" s="164" t="s">
        <v>602</v>
      </c>
      <c r="Y127" s="27"/>
      <c r="Z127" s="27"/>
      <c r="AA127" s="27"/>
    </row>
    <row r="128" spans="20:33" x14ac:dyDescent="0.25">
      <c r="T128" s="336" t="s">
        <v>715</v>
      </c>
      <c r="U128" s="337"/>
      <c r="V128" s="87"/>
      <c r="W128" s="87"/>
      <c r="X128" s="164"/>
      <c r="Y128" s="27"/>
      <c r="Z128" s="27"/>
      <c r="AA128" s="27"/>
    </row>
    <row r="129" spans="20:27" x14ac:dyDescent="0.25">
      <c r="T129" s="336" t="s">
        <v>716</v>
      </c>
      <c r="U129" s="337"/>
      <c r="V129" s="87">
        <v>0</v>
      </c>
      <c r="W129" s="87">
        <v>0</v>
      </c>
      <c r="X129" s="164">
        <v>32</v>
      </c>
      <c r="Y129" s="27"/>
      <c r="Z129" s="27"/>
      <c r="AA129" s="27"/>
    </row>
    <row r="130" spans="20:27" x14ac:dyDescent="0.25">
      <c r="T130" s="336" t="s">
        <v>717</v>
      </c>
      <c r="U130" s="337"/>
      <c r="V130" s="87">
        <v>-20.6</v>
      </c>
      <c r="W130" s="87" t="s">
        <v>602</v>
      </c>
      <c r="X130" s="164" t="s">
        <v>602</v>
      </c>
      <c r="Y130" s="27"/>
      <c r="Z130" s="27"/>
      <c r="AA130" s="27"/>
    </row>
    <row r="131" spans="20:27" x14ac:dyDescent="0.25">
      <c r="T131" s="336" t="s">
        <v>718</v>
      </c>
      <c r="U131" s="337"/>
      <c r="V131" s="87">
        <v>-814</v>
      </c>
      <c r="W131" s="87" t="s">
        <v>602</v>
      </c>
      <c r="X131" s="164" t="s">
        <v>602</v>
      </c>
      <c r="Y131" s="27"/>
      <c r="Z131" s="27"/>
      <c r="AA131" s="27"/>
    </row>
    <row r="132" spans="20:27" x14ac:dyDescent="0.25">
      <c r="T132" s="336" t="s">
        <v>719</v>
      </c>
      <c r="U132" s="337"/>
      <c r="V132" s="87">
        <v>-1220.5</v>
      </c>
      <c r="W132" s="87">
        <v>-1116.5</v>
      </c>
      <c r="X132" s="164">
        <v>291.5</v>
      </c>
      <c r="Y132" s="27"/>
      <c r="Z132" s="27"/>
      <c r="AA132" s="27"/>
    </row>
    <row r="133" spans="20:27" x14ac:dyDescent="0.25">
      <c r="T133" s="348" t="s">
        <v>720</v>
      </c>
      <c r="U133" s="349"/>
      <c r="V133" s="349"/>
      <c r="W133" s="349"/>
      <c r="X133" s="350"/>
      <c r="Y133" s="27"/>
      <c r="Z133" s="27"/>
      <c r="AA133" s="27"/>
    </row>
    <row r="134" spans="20:27" x14ac:dyDescent="0.25">
      <c r="T134" s="336" t="s">
        <v>721</v>
      </c>
      <c r="U134" s="337"/>
      <c r="V134" s="87">
        <v>0</v>
      </c>
      <c r="W134" s="87">
        <v>0</v>
      </c>
      <c r="X134" s="164">
        <v>51.2</v>
      </c>
      <c r="Y134" s="27"/>
      <c r="Z134" s="27"/>
      <c r="AA134" s="27"/>
    </row>
    <row r="135" spans="20:27" x14ac:dyDescent="0.25">
      <c r="T135" s="336" t="s">
        <v>722</v>
      </c>
      <c r="U135" s="337"/>
      <c r="V135" s="87">
        <v>-577.6</v>
      </c>
      <c r="W135" s="87">
        <v>-515.79999999999995</v>
      </c>
      <c r="X135" s="164">
        <v>49</v>
      </c>
      <c r="Y135" s="27"/>
      <c r="Z135" s="27"/>
      <c r="AA135" s="27"/>
    </row>
    <row r="136" spans="20:27" x14ac:dyDescent="0.25">
      <c r="T136" s="348" t="s">
        <v>723</v>
      </c>
      <c r="U136" s="349"/>
      <c r="V136" s="349"/>
      <c r="W136" s="349"/>
      <c r="X136" s="350"/>
      <c r="Y136" s="27"/>
      <c r="Z136" s="27"/>
      <c r="AA136" s="27"/>
    </row>
    <row r="137" spans="20:27" x14ac:dyDescent="0.25">
      <c r="T137" s="336" t="s">
        <v>724</v>
      </c>
      <c r="U137" s="337"/>
      <c r="V137" s="87">
        <v>-763.2</v>
      </c>
      <c r="W137" s="87">
        <v>-726.3</v>
      </c>
      <c r="X137" s="164">
        <v>353.2</v>
      </c>
      <c r="Y137" s="27"/>
      <c r="Z137" s="27"/>
      <c r="AA137" s="27"/>
    </row>
    <row r="138" spans="20:27" x14ac:dyDescent="0.25">
      <c r="T138" s="336" t="s">
        <v>725</v>
      </c>
      <c r="U138" s="337"/>
      <c r="V138" s="87">
        <v>-804.2</v>
      </c>
      <c r="W138" s="87">
        <v>-737.2</v>
      </c>
      <c r="X138" s="164">
        <v>252.3</v>
      </c>
      <c r="Y138" s="27"/>
      <c r="Z138" s="27"/>
      <c r="AA138" s="27"/>
    </row>
    <row r="139" spans="20:27" ht="15.75" thickBot="1" x14ac:dyDescent="0.3">
      <c r="T139" s="340" t="s">
        <v>726</v>
      </c>
      <c r="U139" s="341"/>
      <c r="V139" s="165">
        <v>-944</v>
      </c>
      <c r="W139" s="165">
        <v>-888.8</v>
      </c>
      <c r="X139" s="166">
        <v>50.6</v>
      </c>
      <c r="Y139" s="27"/>
      <c r="Z139" s="27"/>
      <c r="AA139" s="27"/>
    </row>
    <row r="140" spans="20:27" x14ac:dyDescent="0.25">
      <c r="X140" s="27"/>
      <c r="Y140" s="27"/>
      <c r="Z140" s="27"/>
      <c r="AA140" s="27"/>
    </row>
    <row r="141" spans="20:27" x14ac:dyDescent="0.25">
      <c r="X141" s="27"/>
      <c r="Y141" s="27"/>
      <c r="Z141" s="27"/>
      <c r="AA141" s="27"/>
    </row>
    <row r="142" spans="20:27" x14ac:dyDescent="0.25">
      <c r="X142" s="27"/>
      <c r="Y142" s="27"/>
      <c r="Z142" s="27"/>
      <c r="AA142" s="27"/>
    </row>
    <row r="143" spans="20:27" x14ac:dyDescent="0.25">
      <c r="X143" s="27"/>
      <c r="Y143" s="27"/>
      <c r="Z143" s="27"/>
      <c r="AA143" s="27"/>
    </row>
    <row r="144" spans="20:27" x14ac:dyDescent="0.25">
      <c r="X144" s="27"/>
      <c r="Y144" s="27"/>
      <c r="Z144" s="27"/>
      <c r="AA144" s="27"/>
    </row>
    <row r="145" spans="24:27" x14ac:dyDescent="0.25">
      <c r="X145" s="27"/>
      <c r="Y145" s="27"/>
      <c r="Z145" s="27"/>
      <c r="AA145" s="27"/>
    </row>
    <row r="146" spans="24:27" x14ac:dyDescent="0.25">
      <c r="X146" s="27"/>
      <c r="Y146" s="27"/>
      <c r="Z146" s="27"/>
      <c r="AA146" s="27"/>
    </row>
    <row r="147" spans="24:27" x14ac:dyDescent="0.25">
      <c r="X147" s="27"/>
      <c r="Y147" s="27"/>
      <c r="Z147" s="27"/>
      <c r="AA147" s="27"/>
    </row>
    <row r="148" spans="24:27" x14ac:dyDescent="0.25">
      <c r="X148" s="27"/>
      <c r="Y148" s="27"/>
      <c r="Z148" s="27"/>
      <c r="AA148" s="27"/>
    </row>
    <row r="149" spans="24:27" x14ac:dyDescent="0.25">
      <c r="X149" s="27"/>
      <c r="Y149" s="27"/>
      <c r="Z149" s="27"/>
      <c r="AA149" s="27"/>
    </row>
    <row r="150" spans="24:27" x14ac:dyDescent="0.25">
      <c r="X150" s="27"/>
      <c r="Y150" s="27"/>
      <c r="Z150" s="27"/>
      <c r="AA150" s="27"/>
    </row>
    <row r="151" spans="24:27" x14ac:dyDescent="0.25">
      <c r="X151" s="27"/>
      <c r="Y151" s="27"/>
      <c r="Z151" s="27"/>
      <c r="AA151" s="27"/>
    </row>
  </sheetData>
  <mergeCells count="361">
    <mergeCell ref="L7:M7"/>
    <mergeCell ref="L6:M6"/>
    <mergeCell ref="K5:M5"/>
    <mergeCell ref="O5:T5"/>
    <mergeCell ref="O6:T6"/>
    <mergeCell ref="O7:T7"/>
    <mergeCell ref="M35:P35"/>
    <mergeCell ref="M37:P37"/>
    <mergeCell ref="M38:P38"/>
    <mergeCell ref="L18:L19"/>
    <mergeCell ref="M18:M19"/>
    <mergeCell ref="N18:N19"/>
    <mergeCell ref="K16:K17"/>
    <mergeCell ref="K15:N15"/>
    <mergeCell ref="L16:L17"/>
    <mergeCell ref="N16:N17"/>
    <mergeCell ref="M16:M17"/>
    <mergeCell ref="K18:K19"/>
    <mergeCell ref="K32:N32"/>
    <mergeCell ref="O31:Q32"/>
    <mergeCell ref="K31:N31"/>
    <mergeCell ref="K11:N12"/>
    <mergeCell ref="K10:N10"/>
    <mergeCell ref="K9:N9"/>
    <mergeCell ref="K13:N13"/>
    <mergeCell ref="A65:E65"/>
    <mergeCell ref="F65:G65"/>
    <mergeCell ref="D62:E63"/>
    <mergeCell ref="F62:G63"/>
    <mergeCell ref="A63:B63"/>
    <mergeCell ref="A51:G51"/>
    <mergeCell ref="A53:C53"/>
    <mergeCell ref="A54:G54"/>
    <mergeCell ref="A52:C52"/>
    <mergeCell ref="E52:G52"/>
    <mergeCell ref="E53:G53"/>
    <mergeCell ref="A55:D55"/>
    <mergeCell ref="E55:G55"/>
    <mergeCell ref="A32:C32"/>
    <mergeCell ref="D32:E32"/>
    <mergeCell ref="F31:G32"/>
    <mergeCell ref="A35:G35"/>
    <mergeCell ref="A36:E36"/>
    <mergeCell ref="A41:B41"/>
    <mergeCell ref="C41:D41"/>
    <mergeCell ref="E41:F41"/>
    <mergeCell ref="D34:E34"/>
    <mergeCell ref="F33:G34"/>
    <mergeCell ref="AD115:AF115"/>
    <mergeCell ref="A61:B61"/>
    <mergeCell ref="D61:E61"/>
    <mergeCell ref="F61:G61"/>
    <mergeCell ref="A62:B62"/>
    <mergeCell ref="A64:G64"/>
    <mergeCell ref="A56:D56"/>
    <mergeCell ref="E56:G56"/>
    <mergeCell ref="A57:D57"/>
    <mergeCell ref="E57:G57"/>
    <mergeCell ref="A58:G58"/>
    <mergeCell ref="A59:C59"/>
    <mergeCell ref="E59:F59"/>
    <mergeCell ref="A60:G60"/>
    <mergeCell ref="AD105:AG105"/>
    <mergeCell ref="AD106:AG106"/>
    <mergeCell ref="Z115:AC115"/>
    <mergeCell ref="Z109:AB109"/>
    <mergeCell ref="Z103:AG103"/>
    <mergeCell ref="AA104:AC104"/>
    <mergeCell ref="Z114:AC114"/>
    <mergeCell ref="AD109:AE109"/>
    <mergeCell ref="AF107:AG107"/>
    <mergeCell ref="AD110:AE110"/>
    <mergeCell ref="A22:G22"/>
    <mergeCell ref="A23:G23"/>
    <mergeCell ref="F6:H6"/>
    <mergeCell ref="A5:H5"/>
    <mergeCell ref="A20:B20"/>
    <mergeCell ref="D19:E20"/>
    <mergeCell ref="A13:E13"/>
    <mergeCell ref="C18:C19"/>
    <mergeCell ref="D14:E14"/>
    <mergeCell ref="A18:B19"/>
    <mergeCell ref="A14:B14"/>
    <mergeCell ref="A15:B15"/>
    <mergeCell ref="A16:B16"/>
    <mergeCell ref="A17:B17"/>
    <mergeCell ref="D15:E16"/>
    <mergeCell ref="D17:E18"/>
    <mergeCell ref="A1:E1"/>
    <mergeCell ref="A2:E2"/>
    <mergeCell ref="A3:E3"/>
    <mergeCell ref="A11:D11"/>
    <mergeCell ref="F7:H8"/>
    <mergeCell ref="A8:D8"/>
    <mergeCell ref="A9:D9"/>
    <mergeCell ref="F9:H11"/>
    <mergeCell ref="A6:D6"/>
    <mergeCell ref="A7:D7"/>
    <mergeCell ref="A10:D10"/>
    <mergeCell ref="Q70:R70"/>
    <mergeCell ref="O75:P75"/>
    <mergeCell ref="M75:N75"/>
    <mergeCell ref="K26:Q28"/>
    <mergeCell ref="K25:Q25"/>
    <mergeCell ref="K30:N30"/>
    <mergeCell ref="K29:N29"/>
    <mergeCell ref="O29:Q30"/>
    <mergeCell ref="M73:N73"/>
    <mergeCell ref="O71:P71"/>
    <mergeCell ref="O72:P72"/>
    <mergeCell ref="O73:P73"/>
    <mergeCell ref="O70:P70"/>
    <mergeCell ref="M70:N70"/>
    <mergeCell ref="M71:N71"/>
    <mergeCell ref="M72:N72"/>
    <mergeCell ref="Q72:R72"/>
    <mergeCell ref="Q73:R73"/>
    <mergeCell ref="K74:N74"/>
    <mergeCell ref="M39:P39"/>
    <mergeCell ref="K34:P34"/>
    <mergeCell ref="K54:L57"/>
    <mergeCell ref="K58:N58"/>
    <mergeCell ref="K59:L59"/>
    <mergeCell ref="K78:L78"/>
    <mergeCell ref="O74:P74"/>
    <mergeCell ref="Q74:R74"/>
    <mergeCell ref="Q78:R78"/>
    <mergeCell ref="Q76:R76"/>
    <mergeCell ref="Q77:R77"/>
    <mergeCell ref="Q75:R75"/>
    <mergeCell ref="Q71:R71"/>
    <mergeCell ref="M76:N76"/>
    <mergeCell ref="M77:N77"/>
    <mergeCell ref="M78:N78"/>
    <mergeCell ref="O76:P76"/>
    <mergeCell ref="O77:P77"/>
    <mergeCell ref="F24:G29"/>
    <mergeCell ref="A43:G43"/>
    <mergeCell ref="A44:G44"/>
    <mergeCell ref="F45:G50"/>
    <mergeCell ref="A50:D50"/>
    <mergeCell ref="A30:G30"/>
    <mergeCell ref="A31:C31"/>
    <mergeCell ref="A33:C33"/>
    <mergeCell ref="A34:C34"/>
    <mergeCell ref="D31:E31"/>
    <mergeCell ref="D33:E33"/>
    <mergeCell ref="F36:G36"/>
    <mergeCell ref="A37:G37"/>
    <mergeCell ref="A38:E38"/>
    <mergeCell ref="F38:G38"/>
    <mergeCell ref="A39:E39"/>
    <mergeCell ref="F39:G39"/>
    <mergeCell ref="A40:C40"/>
    <mergeCell ref="E40:F40"/>
    <mergeCell ref="A29:D29"/>
    <mergeCell ref="K79:N80"/>
    <mergeCell ref="AD104:AG104"/>
    <mergeCell ref="K20:K21"/>
    <mergeCell ref="L20:L21"/>
    <mergeCell ref="M20:M21"/>
    <mergeCell ref="N20:N21"/>
    <mergeCell ref="K22:K23"/>
    <mergeCell ref="L22:L23"/>
    <mergeCell ref="M22:M23"/>
    <mergeCell ref="N22:N23"/>
    <mergeCell ref="M36:P36"/>
    <mergeCell ref="O79:P79"/>
    <mergeCell ref="O78:P78"/>
    <mergeCell ref="Q80:R80"/>
    <mergeCell ref="K69:R69"/>
    <mergeCell ref="O80:P80"/>
    <mergeCell ref="Q79:R79"/>
    <mergeCell ref="K70:L70"/>
    <mergeCell ref="K75:L75"/>
    <mergeCell ref="K71:L71"/>
    <mergeCell ref="K72:L72"/>
    <mergeCell ref="K73:L73"/>
    <mergeCell ref="K76:L76"/>
    <mergeCell ref="K77:L77"/>
    <mergeCell ref="AF108:AG108"/>
    <mergeCell ref="AF109:AG109"/>
    <mergeCell ref="AF110:AG110"/>
    <mergeCell ref="AD114:AG114"/>
    <mergeCell ref="Z113:AB113"/>
    <mergeCell ref="AD113:AE113"/>
    <mergeCell ref="AF113:AG113"/>
    <mergeCell ref="AD111:AG111"/>
    <mergeCell ref="AD107:AE107"/>
    <mergeCell ref="AD108:AE108"/>
    <mergeCell ref="T10:X10"/>
    <mergeCell ref="T11:U11"/>
    <mergeCell ref="W11:X11"/>
    <mergeCell ref="T12:U12"/>
    <mergeCell ref="T13:X13"/>
    <mergeCell ref="T14:U14"/>
    <mergeCell ref="T15:U15"/>
    <mergeCell ref="T16:U16"/>
    <mergeCell ref="T17:U17"/>
    <mergeCell ref="T18:X18"/>
    <mergeCell ref="T19:U19"/>
    <mergeCell ref="T20:U20"/>
    <mergeCell ref="T21:U21"/>
    <mergeCell ref="T22:U22"/>
    <mergeCell ref="T23:X23"/>
    <mergeCell ref="T24:U24"/>
    <mergeCell ref="T25:U25"/>
    <mergeCell ref="T26:U26"/>
    <mergeCell ref="T27:U27"/>
    <mergeCell ref="T28:U28"/>
    <mergeCell ref="T29:X29"/>
    <mergeCell ref="T30:U30"/>
    <mergeCell ref="T31:U31"/>
    <mergeCell ref="T32:U32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T42:U42"/>
    <mergeCell ref="T43:U43"/>
    <mergeCell ref="T44:U44"/>
    <mergeCell ref="T45:U45"/>
    <mergeCell ref="T46:U46"/>
    <mergeCell ref="T47:U47"/>
    <mergeCell ref="T48:U48"/>
    <mergeCell ref="T49:U49"/>
    <mergeCell ref="T50:U50"/>
    <mergeCell ref="T51:U51"/>
    <mergeCell ref="T52:U52"/>
    <mergeCell ref="T53:U53"/>
    <mergeCell ref="T54:U54"/>
    <mergeCell ref="T55:U55"/>
    <mergeCell ref="T56:U56"/>
    <mergeCell ref="T57:U57"/>
    <mergeCell ref="T58:X58"/>
    <mergeCell ref="T59:U59"/>
    <mergeCell ref="T60:U60"/>
    <mergeCell ref="T61:U61"/>
    <mergeCell ref="T62:U62"/>
    <mergeCell ref="T63:X63"/>
    <mergeCell ref="T64:U64"/>
    <mergeCell ref="T65:X65"/>
    <mergeCell ref="T66:U66"/>
    <mergeCell ref="T67:U67"/>
    <mergeCell ref="T68:X68"/>
    <mergeCell ref="T69:U69"/>
    <mergeCell ref="T70:U70"/>
    <mergeCell ref="T71:U71"/>
    <mergeCell ref="T72:U72"/>
    <mergeCell ref="T73:U73"/>
    <mergeCell ref="T74:X74"/>
    <mergeCell ref="T75:U75"/>
    <mergeCell ref="T76:U76"/>
    <mergeCell ref="T77:U77"/>
    <mergeCell ref="T78:U78"/>
    <mergeCell ref="T79:X79"/>
    <mergeCell ref="T80:U80"/>
    <mergeCell ref="T81:U81"/>
    <mergeCell ref="T82:X82"/>
    <mergeCell ref="T83:U83"/>
    <mergeCell ref="T84:U84"/>
    <mergeCell ref="T85:U85"/>
    <mergeCell ref="T86:U86"/>
    <mergeCell ref="T87:U87"/>
    <mergeCell ref="T88:X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X102"/>
    <mergeCell ref="T103:U103"/>
    <mergeCell ref="T104:U104"/>
    <mergeCell ref="T105:U105"/>
    <mergeCell ref="T106:U106"/>
    <mergeCell ref="T107:U107"/>
    <mergeCell ref="T108:U108"/>
    <mergeCell ref="T109:X109"/>
    <mergeCell ref="T110:U110"/>
    <mergeCell ref="T111:U111"/>
    <mergeCell ref="T112:U112"/>
    <mergeCell ref="T113:U113"/>
    <mergeCell ref="T114:U114"/>
    <mergeCell ref="T115:U115"/>
    <mergeCell ref="T116:U116"/>
    <mergeCell ref="T135:U135"/>
    <mergeCell ref="T136:X136"/>
    <mergeCell ref="T137:U137"/>
    <mergeCell ref="T138:U138"/>
    <mergeCell ref="T139:U139"/>
    <mergeCell ref="Y10:AA12"/>
    <mergeCell ref="T126:U126"/>
    <mergeCell ref="T127:U127"/>
    <mergeCell ref="T128:U128"/>
    <mergeCell ref="T129:U129"/>
    <mergeCell ref="T130:U130"/>
    <mergeCell ref="T131:U131"/>
    <mergeCell ref="T132:U132"/>
    <mergeCell ref="T133:X133"/>
    <mergeCell ref="T134:U134"/>
    <mergeCell ref="T117:U117"/>
    <mergeCell ref="T118:U118"/>
    <mergeCell ref="T119:X119"/>
    <mergeCell ref="T120:U120"/>
    <mergeCell ref="T121:U121"/>
    <mergeCell ref="T122:X122"/>
    <mergeCell ref="T123:U123"/>
    <mergeCell ref="T124:U124"/>
    <mergeCell ref="T125:X125"/>
    <mergeCell ref="E76:H76"/>
    <mergeCell ref="E77:H77"/>
    <mergeCell ref="E78:H78"/>
    <mergeCell ref="E79:G79"/>
    <mergeCell ref="A66:E66"/>
    <mergeCell ref="F66:G66"/>
    <mergeCell ref="E69:H69"/>
    <mergeCell ref="A79:D79"/>
    <mergeCell ref="A76:B76"/>
    <mergeCell ref="C76:D76"/>
    <mergeCell ref="A77:B77"/>
    <mergeCell ref="C77:D77"/>
    <mergeCell ref="A78:B78"/>
    <mergeCell ref="C78:D78"/>
    <mergeCell ref="E72:F72"/>
    <mergeCell ref="G72:H72"/>
    <mergeCell ref="A68:H68"/>
    <mergeCell ref="B69:D69"/>
    <mergeCell ref="E70:H70"/>
    <mergeCell ref="E71:H71"/>
    <mergeCell ref="A75:D75"/>
    <mergeCell ref="M59:N59"/>
    <mergeCell ref="K64:N64"/>
    <mergeCell ref="K65:L65"/>
    <mergeCell ref="M65:N65"/>
    <mergeCell ref="M61:N63"/>
    <mergeCell ref="E73:H73"/>
    <mergeCell ref="E75:F75"/>
    <mergeCell ref="G75:H75"/>
    <mergeCell ref="K41:N41"/>
    <mergeCell ref="K42:N42"/>
    <mergeCell ref="K43:N43"/>
    <mergeCell ref="K44:L44"/>
    <mergeCell ref="M44:N44"/>
    <mergeCell ref="M46:N46"/>
    <mergeCell ref="K47:N47"/>
    <mergeCell ref="K50:N50"/>
    <mergeCell ref="K51:L51"/>
    <mergeCell ref="M51:N51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78F76-68A0-4D09-8850-74987BDE8B01}">
  <dimension ref="A1:Z134"/>
  <sheetViews>
    <sheetView topLeftCell="A19" workbookViewId="0">
      <selection activeCell="H45" sqref="H45"/>
    </sheetView>
  </sheetViews>
  <sheetFormatPr defaultRowHeight="15" x14ac:dyDescent="0.25"/>
  <sheetData>
    <row r="1" spans="1:26" s="27" customFormat="1" x14ac:dyDescent="0.25">
      <c r="A1" s="463" t="s">
        <v>51</v>
      </c>
      <c r="B1" s="463"/>
      <c r="C1" s="463"/>
      <c r="D1" s="463"/>
      <c r="E1" s="463"/>
    </row>
    <row r="2" spans="1:26" s="27" customFormat="1" x14ac:dyDescent="0.25">
      <c r="A2" s="524" t="s">
        <v>443</v>
      </c>
      <c r="B2" s="524"/>
      <c r="C2" s="524"/>
      <c r="D2" s="524"/>
      <c r="E2" s="524"/>
    </row>
    <row r="3" spans="1:26" x14ac:dyDescent="0.25">
      <c r="A3" s="442" t="s">
        <v>444</v>
      </c>
      <c r="B3" s="442"/>
      <c r="C3" s="442"/>
      <c r="D3" s="442"/>
      <c r="E3" s="442"/>
    </row>
    <row r="4" spans="1:26" ht="15.75" thickBot="1" x14ac:dyDescent="0.3"/>
    <row r="5" spans="1:26" ht="15.75" thickBot="1" x14ac:dyDescent="0.3">
      <c r="A5" s="342" t="s">
        <v>307</v>
      </c>
      <c r="B5" s="343"/>
      <c r="C5" s="343"/>
      <c r="D5" s="343"/>
      <c r="E5" s="343"/>
      <c r="F5" s="344"/>
      <c r="K5" s="342" t="s">
        <v>296</v>
      </c>
      <c r="L5" s="343"/>
      <c r="M5" s="344"/>
      <c r="O5" s="342" t="s">
        <v>1398</v>
      </c>
      <c r="P5" s="343"/>
      <c r="Q5" s="344"/>
      <c r="S5" s="342" t="s">
        <v>728</v>
      </c>
      <c r="T5" s="343"/>
      <c r="U5" s="343"/>
      <c r="V5" s="343"/>
      <c r="W5" s="344"/>
      <c r="X5" s="391" t="s">
        <v>744</v>
      </c>
      <c r="Y5" s="392"/>
      <c r="Z5" s="393"/>
    </row>
    <row r="6" spans="1:26" ht="18.75" thickBot="1" x14ac:dyDescent="0.4">
      <c r="A6" s="421" t="s">
        <v>35</v>
      </c>
      <c r="B6" s="422"/>
      <c r="C6" s="14" t="s">
        <v>55</v>
      </c>
      <c r="D6" s="422" t="s">
        <v>36</v>
      </c>
      <c r="E6" s="422"/>
      <c r="F6" s="540"/>
      <c r="K6" s="363" t="s">
        <v>348</v>
      </c>
      <c r="L6" s="364"/>
      <c r="M6" s="365"/>
      <c r="O6" s="746" t="s">
        <v>1399</v>
      </c>
      <c r="P6" s="747"/>
      <c r="Q6" s="748"/>
      <c r="S6" s="382" t="s">
        <v>628</v>
      </c>
      <c r="T6" s="383"/>
      <c r="U6" s="170" t="s">
        <v>1334</v>
      </c>
      <c r="V6" s="351">
        <f>IF(U6="Hf",_xlfn.XLOOKUP(S6,S9:S134,U9:U134,"Check Input",0),
IF(U6="Gf",_xlfn.XLOOKUP(S6,S9:S134,V9:V134,"Check Input",0),
IF(U6="S",_xlfn.XLOOKUP(S6,S9:S134,W9:W134,"Check Input",0))))</f>
        <v>49.1</v>
      </c>
      <c r="W6" s="352"/>
      <c r="X6" s="635"/>
      <c r="Y6" s="636"/>
      <c r="Z6" s="637"/>
    </row>
    <row r="7" spans="1:26" ht="18.75" thickBot="1" x14ac:dyDescent="0.4">
      <c r="A7" s="380" t="s">
        <v>318</v>
      </c>
      <c r="B7" s="381"/>
      <c r="C7" s="65">
        <v>16.600000000000001</v>
      </c>
      <c r="D7" s="744" t="s">
        <v>346</v>
      </c>
      <c r="E7" s="744"/>
      <c r="F7" s="745"/>
      <c r="K7" s="366" t="s">
        <v>349</v>
      </c>
      <c r="L7" s="367"/>
      <c r="M7" s="368"/>
      <c r="S7" s="421" t="s">
        <v>596</v>
      </c>
      <c r="T7" s="422"/>
      <c r="U7" s="162" t="s">
        <v>597</v>
      </c>
      <c r="V7" s="162" t="s">
        <v>598</v>
      </c>
      <c r="W7" s="163" t="s">
        <v>599</v>
      </c>
      <c r="X7" s="638"/>
      <c r="Y7" s="639"/>
      <c r="Z7" s="640"/>
    </row>
    <row r="8" spans="1:26" ht="15.75" thickBot="1" x14ac:dyDescent="0.3">
      <c r="A8" s="380" t="s">
        <v>371</v>
      </c>
      <c r="B8" s="381"/>
      <c r="C8" s="65">
        <v>93.1</v>
      </c>
      <c r="D8" s="531">
        <f>IF(NOT(ISNUMBER(C8)),
    ((C7-C10)/C9*1000),
IF(NOT(ISNUMBER(C7)),
   C10+C9*(C8/1000),
IF(NOT(ISNUMBER(C9)),
    (C10-C7)/(-C8/1000),
IF(NOT(ISNUMBER(C10)),
    C7-C9*(C8/1000),
"Check Inputs"))))</f>
        <v>-11.143799999999995</v>
      </c>
      <c r="E8" s="532"/>
      <c r="F8" s="571" t="str">
        <f>IF(NOT(ISNUMBER(C8)),"ΔS in J",
IF(NOT(ISNUMBER(C7)),"ΔH in KJ",
IF(NOT(ISNUMBER(C9)),"Kelvin",
IF(NOT(ISNUMBER(C10)),"ΔG in KJ"))))</f>
        <v>ΔG in KJ</v>
      </c>
      <c r="G8" s="27"/>
      <c r="H8" s="27"/>
      <c r="I8" s="27"/>
      <c r="J8" s="27"/>
      <c r="K8" s="357" t="s">
        <v>362</v>
      </c>
      <c r="L8" s="358"/>
      <c r="M8" s="359"/>
      <c r="S8" s="345" t="s">
        <v>600</v>
      </c>
      <c r="T8" s="346"/>
      <c r="U8" s="346"/>
      <c r="V8" s="346"/>
      <c r="W8" s="347"/>
    </row>
    <row r="9" spans="1:26" ht="15.75" customHeight="1" thickBot="1" x14ac:dyDescent="0.3">
      <c r="A9" s="380" t="s">
        <v>308</v>
      </c>
      <c r="B9" s="381"/>
      <c r="C9" s="65">
        <v>298</v>
      </c>
      <c r="D9" s="533"/>
      <c r="E9" s="534"/>
      <c r="F9" s="590"/>
      <c r="I9" s="27"/>
      <c r="J9" s="27"/>
      <c r="K9" s="68"/>
      <c r="L9" s="68"/>
      <c r="M9" s="68"/>
      <c r="N9" s="27"/>
      <c r="O9" s="27"/>
      <c r="P9" s="27"/>
      <c r="Q9" s="27"/>
      <c r="S9" s="336" t="s">
        <v>601</v>
      </c>
      <c r="T9" s="337"/>
      <c r="U9" s="87" t="s">
        <v>602</v>
      </c>
      <c r="V9" s="87">
        <v>-485</v>
      </c>
      <c r="W9" s="164" t="s">
        <v>602</v>
      </c>
    </row>
    <row r="10" spans="1:26" ht="15.75" thickBot="1" x14ac:dyDescent="0.3">
      <c r="A10" s="384" t="s">
        <v>319</v>
      </c>
      <c r="B10" s="385"/>
      <c r="C10" s="72"/>
      <c r="D10" s="755" t="str">
        <f>IF(ISNUMBER(C10),
    IF(C10&lt;0,"Spontaneous",
    IF(C10&gt;0,"Reverse Spontaneous",
    IF(C10=0,"System at Equilibrium"))),
IF(NOT(ISNUMBER(C10)),
    IF(D8&lt;0,"Spontaneous",
    IF(D8&gt;0,"Reverse Spontaneous",
    IF(D8=0,"System at Equilibrium")))))</f>
        <v>Spontaneous</v>
      </c>
      <c r="E10" s="755"/>
      <c r="F10" s="756"/>
      <c r="G10" s="73"/>
      <c r="H10" s="73"/>
      <c r="I10" s="73"/>
      <c r="J10" s="27"/>
      <c r="K10" s="388" t="s">
        <v>320</v>
      </c>
      <c r="L10" s="389"/>
      <c r="M10" s="389"/>
      <c r="N10" s="390"/>
      <c r="O10" s="27"/>
      <c r="P10" s="27"/>
      <c r="Q10" s="27"/>
      <c r="S10" s="336" t="s">
        <v>603</v>
      </c>
      <c r="T10" s="337"/>
      <c r="U10" s="87">
        <v>0</v>
      </c>
      <c r="V10" s="87">
        <v>0</v>
      </c>
      <c r="W10" s="164">
        <v>28.3</v>
      </c>
    </row>
    <row r="11" spans="1:26" ht="15.75" thickBot="1" x14ac:dyDescent="0.3">
      <c r="A11" s="67"/>
      <c r="B11" s="67"/>
      <c r="C11" s="71"/>
      <c r="D11" s="67"/>
      <c r="E11" s="67"/>
      <c r="F11" s="67"/>
      <c r="G11" s="73"/>
      <c r="H11" s="73"/>
      <c r="I11" s="73"/>
      <c r="K11" s="18" t="s">
        <v>312</v>
      </c>
      <c r="L11" s="364" t="s">
        <v>315</v>
      </c>
      <c r="M11" s="364"/>
      <c r="N11" s="365"/>
      <c r="O11" s="27"/>
      <c r="P11" s="27"/>
      <c r="Q11" s="27"/>
      <c r="S11" s="336" t="s">
        <v>604</v>
      </c>
      <c r="T11" s="337"/>
      <c r="U11" s="87">
        <v>-1675.7</v>
      </c>
      <c r="V11" s="87">
        <v>-1582.3</v>
      </c>
      <c r="W11" s="164">
        <v>50.9</v>
      </c>
    </row>
    <row r="12" spans="1:26" ht="18.75" thickBot="1" x14ac:dyDescent="0.4">
      <c r="A12" s="388" t="s">
        <v>321</v>
      </c>
      <c r="B12" s="389"/>
      <c r="C12" s="389"/>
      <c r="D12" s="389"/>
      <c r="E12" s="389"/>
      <c r="F12" s="389"/>
      <c r="G12" s="389"/>
      <c r="H12" s="390"/>
      <c r="I12" s="73"/>
      <c r="K12" s="17" t="s">
        <v>314</v>
      </c>
      <c r="L12" s="536" t="s">
        <v>316</v>
      </c>
      <c r="M12" s="536"/>
      <c r="N12" s="743"/>
      <c r="O12" s="27"/>
      <c r="P12" s="27"/>
      <c r="Q12" s="27"/>
      <c r="S12" s="336" t="s">
        <v>605</v>
      </c>
      <c r="T12" s="337"/>
      <c r="U12" s="87" t="s">
        <v>602</v>
      </c>
      <c r="V12" s="87">
        <v>-1147.25</v>
      </c>
      <c r="W12" s="164" t="s">
        <v>602</v>
      </c>
    </row>
    <row r="13" spans="1:26" ht="15.75" thickBot="1" x14ac:dyDescent="0.3">
      <c r="A13" s="363" t="s">
        <v>110</v>
      </c>
      <c r="B13" s="364"/>
      <c r="C13" s="364" t="s">
        <v>109</v>
      </c>
      <c r="D13" s="364"/>
      <c r="E13" s="364" t="s">
        <v>322</v>
      </c>
      <c r="F13" s="364"/>
      <c r="G13" s="364" t="s">
        <v>115</v>
      </c>
      <c r="H13" s="365"/>
      <c r="I13" s="36"/>
      <c r="K13" s="15" t="s">
        <v>313</v>
      </c>
      <c r="L13" s="358" t="s">
        <v>317</v>
      </c>
      <c r="M13" s="358"/>
      <c r="N13" s="359"/>
      <c r="O13" s="27"/>
      <c r="P13" s="27"/>
      <c r="Q13" s="27"/>
      <c r="S13" s="348" t="s">
        <v>606</v>
      </c>
      <c r="T13" s="349"/>
      <c r="U13" s="349"/>
      <c r="V13" s="349"/>
      <c r="W13" s="350"/>
    </row>
    <row r="14" spans="1:26" ht="15.75" thickBot="1" x14ac:dyDescent="0.3">
      <c r="A14" s="462" t="s">
        <v>351</v>
      </c>
      <c r="B14" s="463"/>
      <c r="C14" s="463">
        <v>2</v>
      </c>
      <c r="D14" s="463"/>
      <c r="E14" s="463">
        <v>87.6</v>
      </c>
      <c r="F14" s="463"/>
      <c r="G14" s="524">
        <f>C14*E14</f>
        <v>175.2</v>
      </c>
      <c r="H14" s="602"/>
      <c r="S14" s="336" t="s">
        <v>607</v>
      </c>
      <c r="T14" s="337"/>
      <c r="U14" s="87" t="s">
        <v>602</v>
      </c>
      <c r="V14" s="87">
        <v>-104</v>
      </c>
      <c r="W14" s="164" t="s">
        <v>602</v>
      </c>
    </row>
    <row r="15" spans="1:26" ht="15.75" thickBot="1" x14ac:dyDescent="0.3">
      <c r="A15" s="462" t="s">
        <v>162</v>
      </c>
      <c r="B15" s="463"/>
      <c r="C15" s="463">
        <v>1</v>
      </c>
      <c r="D15" s="463"/>
      <c r="E15" s="463">
        <v>0</v>
      </c>
      <c r="F15" s="463"/>
      <c r="G15" s="524">
        <f>C15*E15</f>
        <v>0</v>
      </c>
      <c r="H15" s="602"/>
      <c r="K15" s="342" t="s">
        <v>299</v>
      </c>
      <c r="L15" s="343"/>
      <c r="M15" s="343"/>
      <c r="N15" s="343"/>
      <c r="O15" s="343"/>
      <c r="P15" s="344"/>
      <c r="S15" s="336" t="s">
        <v>608</v>
      </c>
      <c r="T15" s="337"/>
      <c r="U15" s="87">
        <v>0</v>
      </c>
      <c r="V15" s="87">
        <v>0</v>
      </c>
      <c r="W15" s="164">
        <v>152.19999999999999</v>
      </c>
    </row>
    <row r="16" spans="1:26" x14ac:dyDescent="0.25">
      <c r="A16" s="462"/>
      <c r="B16" s="463"/>
      <c r="C16" s="463"/>
      <c r="D16" s="463"/>
      <c r="E16" s="463"/>
      <c r="F16" s="463"/>
      <c r="G16" s="524"/>
      <c r="H16" s="602"/>
      <c r="K16" s="60" t="s">
        <v>298</v>
      </c>
      <c r="L16" s="61" t="s">
        <v>297</v>
      </c>
      <c r="M16" s="364" t="s">
        <v>300</v>
      </c>
      <c r="N16" s="364"/>
      <c r="O16" s="364"/>
      <c r="P16" s="365"/>
      <c r="S16" s="336" t="s">
        <v>609</v>
      </c>
      <c r="T16" s="337"/>
      <c r="U16" s="87">
        <v>30.9</v>
      </c>
      <c r="V16" s="87">
        <v>3.1</v>
      </c>
      <c r="W16" s="164">
        <v>245.5</v>
      </c>
    </row>
    <row r="17" spans="1:23" x14ac:dyDescent="0.25">
      <c r="A17" s="678"/>
      <c r="B17" s="679"/>
      <c r="C17" s="679"/>
      <c r="D17" s="680"/>
      <c r="E17" s="367" t="s">
        <v>139</v>
      </c>
      <c r="F17" s="367"/>
      <c r="G17" s="524">
        <f>SUM(G14:H16)</f>
        <v>175.2</v>
      </c>
      <c r="H17" s="602"/>
      <c r="K17" s="63" t="s">
        <v>301</v>
      </c>
      <c r="L17" s="64" t="s">
        <v>302</v>
      </c>
      <c r="M17" s="367" t="s">
        <v>303</v>
      </c>
      <c r="N17" s="367"/>
      <c r="O17" s="367"/>
      <c r="P17" s="368"/>
      <c r="S17" s="336" t="s">
        <v>610</v>
      </c>
      <c r="T17" s="337"/>
      <c r="U17" s="87">
        <v>-36.299999999999997</v>
      </c>
      <c r="V17" s="87">
        <v>-53.4</v>
      </c>
      <c r="W17" s="164">
        <v>198.7</v>
      </c>
    </row>
    <row r="18" spans="1:23" x14ac:dyDescent="0.25">
      <c r="A18" s="366" t="s">
        <v>111</v>
      </c>
      <c r="B18" s="367"/>
      <c r="C18" s="367" t="s">
        <v>108</v>
      </c>
      <c r="D18" s="367"/>
      <c r="E18" s="367" t="s">
        <v>323</v>
      </c>
      <c r="F18" s="367"/>
      <c r="G18" s="367" t="s">
        <v>116</v>
      </c>
      <c r="H18" s="368"/>
      <c r="K18" s="69" t="s">
        <v>302</v>
      </c>
      <c r="L18" s="64" t="s">
        <v>301</v>
      </c>
      <c r="M18" s="367" t="s">
        <v>304</v>
      </c>
      <c r="N18" s="367"/>
      <c r="O18" s="367"/>
      <c r="P18" s="368"/>
      <c r="S18" s="353" t="s">
        <v>611</v>
      </c>
      <c r="T18" s="354"/>
      <c r="U18" s="354"/>
      <c r="V18" s="354"/>
      <c r="W18" s="355"/>
    </row>
    <row r="19" spans="1:23" x14ac:dyDescent="0.25">
      <c r="A19" s="462" t="s">
        <v>351</v>
      </c>
      <c r="B19" s="463"/>
      <c r="C19" s="463">
        <v>2</v>
      </c>
      <c r="D19" s="463"/>
      <c r="E19" s="463">
        <v>51.3</v>
      </c>
      <c r="F19" s="463"/>
      <c r="G19" s="524">
        <f>C19*E19</f>
        <v>102.6</v>
      </c>
      <c r="H19" s="602"/>
      <c r="K19" s="69" t="s">
        <v>301</v>
      </c>
      <c r="L19" s="64" t="s">
        <v>301</v>
      </c>
      <c r="M19" s="367" t="s">
        <v>305</v>
      </c>
      <c r="N19" s="367"/>
      <c r="O19" s="367"/>
      <c r="P19" s="368"/>
      <c r="S19" s="336" t="s">
        <v>612</v>
      </c>
      <c r="T19" s="337"/>
      <c r="U19" s="87" t="s">
        <v>602</v>
      </c>
      <c r="V19" s="87">
        <v>-553.6</v>
      </c>
      <c r="W19" s="164" t="s">
        <v>602</v>
      </c>
    </row>
    <row r="20" spans="1:23" ht="15.75" thickBot="1" x14ac:dyDescent="0.3">
      <c r="A20" s="462"/>
      <c r="B20" s="463"/>
      <c r="C20" s="463"/>
      <c r="D20" s="463"/>
      <c r="E20" s="463"/>
      <c r="F20" s="463"/>
      <c r="G20" s="524">
        <f>C20*E20</f>
        <v>0</v>
      </c>
      <c r="H20" s="602"/>
      <c r="K20" s="70" t="s">
        <v>302</v>
      </c>
      <c r="L20" s="62" t="s">
        <v>302</v>
      </c>
      <c r="M20" s="358" t="s">
        <v>306</v>
      </c>
      <c r="N20" s="358"/>
      <c r="O20" s="358"/>
      <c r="P20" s="359"/>
      <c r="S20" s="336" t="s">
        <v>613</v>
      </c>
      <c r="T20" s="337"/>
      <c r="U20" s="87">
        <v>-795.4</v>
      </c>
      <c r="V20" s="87" t="s">
        <v>602</v>
      </c>
      <c r="W20" s="164" t="s">
        <v>602</v>
      </c>
    </row>
    <row r="21" spans="1:23" x14ac:dyDescent="0.25">
      <c r="A21" s="462"/>
      <c r="B21" s="463"/>
      <c r="C21" s="463"/>
      <c r="D21" s="463"/>
      <c r="E21" s="463"/>
      <c r="F21" s="463"/>
      <c r="G21" s="524"/>
      <c r="H21" s="602"/>
      <c r="S21" s="336" t="s">
        <v>614</v>
      </c>
      <c r="T21" s="337"/>
      <c r="U21" s="87">
        <v>-634.9</v>
      </c>
      <c r="V21" s="87" t="s">
        <v>602</v>
      </c>
      <c r="W21" s="164" t="s">
        <v>602</v>
      </c>
    </row>
    <row r="22" spans="1:23" x14ac:dyDescent="0.25">
      <c r="A22" s="650"/>
      <c r="B22" s="410"/>
      <c r="C22" s="410"/>
      <c r="D22" s="651"/>
      <c r="E22" s="367" t="s">
        <v>139</v>
      </c>
      <c r="F22" s="367"/>
      <c r="G22" s="524">
        <f>SUM(G19:H21)</f>
        <v>102.6</v>
      </c>
      <c r="H22" s="602"/>
      <c r="R22" s="35"/>
      <c r="S22" s="336" t="s">
        <v>615</v>
      </c>
      <c r="T22" s="337"/>
      <c r="U22" s="87">
        <v>-985.2</v>
      </c>
      <c r="V22" s="87" t="s">
        <v>602</v>
      </c>
      <c r="W22" s="164" t="s">
        <v>602</v>
      </c>
    </row>
    <row r="23" spans="1:23" x14ac:dyDescent="0.25">
      <c r="A23" s="753"/>
      <c r="B23" s="413"/>
      <c r="C23" s="413"/>
      <c r="D23" s="754"/>
      <c r="E23" s="367" t="s">
        <v>324</v>
      </c>
      <c r="F23" s="367"/>
      <c r="G23" s="442">
        <f>G22-G17</f>
        <v>-72.599999999999994</v>
      </c>
      <c r="H23" s="443"/>
      <c r="R23" s="30"/>
      <c r="S23" s="336" t="s">
        <v>616</v>
      </c>
      <c r="T23" s="337"/>
      <c r="U23" s="87" t="s">
        <v>602</v>
      </c>
      <c r="V23" s="87">
        <v>-3884.7</v>
      </c>
      <c r="W23" s="164" t="s">
        <v>602</v>
      </c>
    </row>
    <row r="24" spans="1:23" s="27" customFormat="1" ht="15.75" thickBot="1" x14ac:dyDescent="0.3">
      <c r="A24" s="652"/>
      <c r="B24" s="419"/>
      <c r="C24" s="419"/>
      <c r="D24" s="653"/>
      <c r="E24" s="358" t="s">
        <v>350</v>
      </c>
      <c r="F24" s="358"/>
      <c r="G24" s="751" t="str">
        <f>IF(G23&lt;0,"Spontaneous",IF(G23&gt;0,"Reverse Spontaneous", IF(G23=0, "Equilibrium")))</f>
        <v>Spontaneous</v>
      </c>
      <c r="H24" s="752"/>
      <c r="K24"/>
      <c r="L24"/>
      <c r="M24"/>
      <c r="N24"/>
      <c r="O24"/>
      <c r="P24"/>
      <c r="Q24"/>
      <c r="R24" s="30"/>
      <c r="S24" s="348" t="s">
        <v>617</v>
      </c>
      <c r="T24" s="349"/>
      <c r="U24" s="349"/>
      <c r="V24" s="349"/>
      <c r="W24" s="350"/>
    </row>
    <row r="25" spans="1:23" ht="15.75" thickBot="1" x14ac:dyDescent="0.3">
      <c r="R25" s="67"/>
      <c r="S25" s="336" t="s">
        <v>618</v>
      </c>
      <c r="T25" s="337"/>
      <c r="U25" s="87">
        <v>0</v>
      </c>
      <c r="V25" s="87">
        <v>0</v>
      </c>
      <c r="W25" s="164">
        <v>5.7</v>
      </c>
    </row>
    <row r="26" spans="1:23" ht="15.75" thickBot="1" x14ac:dyDescent="0.3">
      <c r="A26" s="388" t="s">
        <v>325</v>
      </c>
      <c r="B26" s="389"/>
      <c r="C26" s="389"/>
      <c r="D26" s="389"/>
      <c r="E26" s="389"/>
      <c r="F26" s="390"/>
      <c r="S26" s="336" t="s">
        <v>619</v>
      </c>
      <c r="T26" s="337"/>
      <c r="U26" s="87">
        <v>-95.7</v>
      </c>
      <c r="V26" s="87">
        <v>-64</v>
      </c>
      <c r="W26" s="164">
        <v>309.39999999999998</v>
      </c>
    </row>
    <row r="27" spans="1:23" x14ac:dyDescent="0.25">
      <c r="A27" s="521" t="s">
        <v>35</v>
      </c>
      <c r="B27" s="520"/>
      <c r="C27" s="313" t="s">
        <v>55</v>
      </c>
      <c r="D27" s="520" t="s">
        <v>36</v>
      </c>
      <c r="E27" s="520"/>
      <c r="F27" s="538"/>
      <c r="M27" s="74"/>
      <c r="N27" s="35"/>
      <c r="O27" s="35"/>
      <c r="P27" s="35"/>
      <c r="Q27" s="35"/>
      <c r="S27" s="336" t="s">
        <v>620</v>
      </c>
      <c r="T27" s="337"/>
      <c r="U27" s="87">
        <v>-128.19999999999999</v>
      </c>
      <c r="V27" s="87">
        <v>-68.599999999999994</v>
      </c>
      <c r="W27" s="164">
        <v>214.4</v>
      </c>
    </row>
    <row r="28" spans="1:23" ht="18" x14ac:dyDescent="0.25">
      <c r="A28" s="380" t="s">
        <v>339</v>
      </c>
      <c r="B28" s="381"/>
      <c r="C28" s="316">
        <v>82.9</v>
      </c>
      <c r="D28" s="381" t="s">
        <v>344</v>
      </c>
      <c r="E28" s="381"/>
      <c r="F28" s="310">
        <f>(C28-C29)*1000</f>
        <v>33800.000000000007</v>
      </c>
      <c r="M28" s="74"/>
      <c r="N28" s="30"/>
      <c r="O28" s="66"/>
      <c r="P28" s="30"/>
      <c r="Q28" s="30"/>
      <c r="S28" s="336" t="s">
        <v>621</v>
      </c>
      <c r="T28" s="337"/>
      <c r="U28" s="87">
        <v>-136.80000000000001</v>
      </c>
      <c r="V28" s="87" t="s">
        <v>602</v>
      </c>
      <c r="W28" s="164" t="s">
        <v>602</v>
      </c>
    </row>
    <row r="29" spans="1:23" ht="18" x14ac:dyDescent="0.25">
      <c r="A29" s="380" t="s">
        <v>340</v>
      </c>
      <c r="B29" s="381"/>
      <c r="C29" s="316">
        <v>49.1</v>
      </c>
      <c r="D29" s="381" t="s">
        <v>341</v>
      </c>
      <c r="E29" s="381"/>
      <c r="F29" s="308">
        <v>0</v>
      </c>
      <c r="K29" s="27"/>
      <c r="L29" s="27"/>
      <c r="M29" s="74"/>
      <c r="N29" s="30"/>
      <c r="O29" s="66"/>
      <c r="P29" s="30"/>
      <c r="Q29" s="30"/>
      <c r="S29" s="336" t="s">
        <v>622</v>
      </c>
      <c r="T29" s="337"/>
      <c r="U29" s="87">
        <v>-74.599999999999994</v>
      </c>
      <c r="V29" s="87">
        <v>-50.5</v>
      </c>
      <c r="W29" s="164">
        <v>186.3</v>
      </c>
    </row>
    <row r="30" spans="1:23" x14ac:dyDescent="0.25">
      <c r="A30" s="380" t="s">
        <v>342</v>
      </c>
      <c r="B30" s="381"/>
      <c r="C30" s="316">
        <v>269.2</v>
      </c>
      <c r="D30" s="381" t="s">
        <v>345</v>
      </c>
      <c r="E30" s="381"/>
      <c r="F30" s="310">
        <f>(C30-C31)</f>
        <v>95.799999999999983</v>
      </c>
      <c r="M30" s="67"/>
      <c r="N30" s="67"/>
      <c r="O30" s="71"/>
      <c r="P30" s="67"/>
      <c r="Q30" s="67"/>
      <c r="S30" s="336" t="s">
        <v>623</v>
      </c>
      <c r="T30" s="337"/>
      <c r="U30" s="87">
        <v>227.4</v>
      </c>
      <c r="V30" s="87" t="s">
        <v>602</v>
      </c>
      <c r="W30" s="164" t="s">
        <v>602</v>
      </c>
    </row>
    <row r="31" spans="1:23" x14ac:dyDescent="0.25">
      <c r="A31" s="380" t="s">
        <v>343</v>
      </c>
      <c r="B31" s="381"/>
      <c r="C31" s="316">
        <v>173.4</v>
      </c>
      <c r="D31" s="381" t="s">
        <v>352</v>
      </c>
      <c r="E31" s="381"/>
      <c r="F31" s="490"/>
      <c r="S31" s="336" t="s">
        <v>624</v>
      </c>
      <c r="T31" s="337"/>
      <c r="U31" s="87">
        <v>-84</v>
      </c>
      <c r="V31" s="87" t="s">
        <v>602</v>
      </c>
      <c r="W31" s="164" t="s">
        <v>602</v>
      </c>
    </row>
    <row r="32" spans="1:23" x14ac:dyDescent="0.25">
      <c r="A32" s="749"/>
      <c r="B32" s="750"/>
      <c r="C32" s="750"/>
      <c r="D32" s="325" t="s">
        <v>354</v>
      </c>
      <c r="E32" s="504">
        <f>((F28-F29)/F30)</f>
        <v>352.81837160751581</v>
      </c>
      <c r="F32" s="505"/>
      <c r="S32" s="336" t="s">
        <v>625</v>
      </c>
      <c r="T32" s="337"/>
      <c r="U32" s="87">
        <v>-103.85</v>
      </c>
      <c r="V32" s="87">
        <v>-23.4</v>
      </c>
      <c r="W32" s="164">
        <v>270.3</v>
      </c>
    </row>
    <row r="33" spans="1:23" ht="15.75" thickBot="1" x14ac:dyDescent="0.3">
      <c r="A33" s="630"/>
      <c r="B33" s="631"/>
      <c r="C33" s="631"/>
      <c r="D33" s="16" t="s">
        <v>353</v>
      </c>
      <c r="E33" s="515">
        <f>((F28-F29)/F30)-Kelvin</f>
        <v>79.668371607515837</v>
      </c>
      <c r="F33" s="577"/>
      <c r="G33">
        <f>CONVERT(E32,"K","C")</f>
        <v>79.668371607515837</v>
      </c>
      <c r="S33" s="336" t="s">
        <v>626</v>
      </c>
      <c r="T33" s="337"/>
      <c r="U33" s="87">
        <v>-125.7</v>
      </c>
      <c r="V33" s="87">
        <v>-15.7</v>
      </c>
      <c r="W33" s="164">
        <v>310</v>
      </c>
    </row>
    <row r="34" spans="1:23" ht="15.75" thickBot="1" x14ac:dyDescent="0.3">
      <c r="S34" s="336" t="s">
        <v>627</v>
      </c>
      <c r="T34" s="337"/>
      <c r="U34" s="87">
        <v>-147.30000000000001</v>
      </c>
      <c r="V34" s="87">
        <v>-15</v>
      </c>
      <c r="W34" s="164">
        <v>231</v>
      </c>
    </row>
    <row r="35" spans="1:23" ht="15.75" thickBot="1" x14ac:dyDescent="0.3">
      <c r="A35" s="388" t="s">
        <v>325</v>
      </c>
      <c r="B35" s="389"/>
      <c r="C35" s="389"/>
      <c r="D35" s="389"/>
      <c r="E35" s="389"/>
      <c r="F35" s="389"/>
      <c r="G35" s="390"/>
      <c r="S35" s="336" t="s">
        <v>628</v>
      </c>
      <c r="T35" s="337"/>
      <c r="U35" s="87">
        <v>49.1</v>
      </c>
      <c r="V35" s="87">
        <v>124.5</v>
      </c>
      <c r="W35" s="164">
        <v>173.4</v>
      </c>
    </row>
    <row r="36" spans="1:23" x14ac:dyDescent="0.25">
      <c r="A36" s="521" t="s">
        <v>35</v>
      </c>
      <c r="B36" s="520"/>
      <c r="C36" s="520" t="s">
        <v>55</v>
      </c>
      <c r="D36" s="520"/>
      <c r="E36" s="520" t="s">
        <v>36</v>
      </c>
      <c r="F36" s="520"/>
      <c r="G36" s="538"/>
      <c r="S36" s="336" t="s">
        <v>629</v>
      </c>
      <c r="T36" s="337"/>
      <c r="U36" s="87">
        <v>82.9</v>
      </c>
      <c r="V36" s="87">
        <v>129.69999999999999</v>
      </c>
      <c r="W36" s="164">
        <v>269.2</v>
      </c>
    </row>
    <row r="37" spans="1:23" x14ac:dyDescent="0.25">
      <c r="A37" s="380" t="s">
        <v>497</v>
      </c>
      <c r="B37" s="381"/>
      <c r="C37" s="500" t="s">
        <v>1337</v>
      </c>
      <c r="D37" s="500"/>
      <c r="E37" s="381" t="s">
        <v>344</v>
      </c>
      <c r="F37" s="381"/>
      <c r="G37" s="310">
        <f>(C38-C39)*1000</f>
        <v>38199.999999999985</v>
      </c>
      <c r="L37" s="67"/>
      <c r="S37" s="336" t="s">
        <v>630</v>
      </c>
      <c r="T37" s="337"/>
      <c r="U37" s="87">
        <v>-239.2</v>
      </c>
      <c r="V37" s="87">
        <v>-166.6</v>
      </c>
      <c r="W37" s="164">
        <v>126.8</v>
      </c>
    </row>
    <row r="38" spans="1:23" ht="18" x14ac:dyDescent="0.25">
      <c r="A38" s="380" t="s">
        <v>339</v>
      </c>
      <c r="B38" s="381"/>
      <c r="C38" s="509">
        <f>_xlfn.XLOOKUP(C37,A46:A68,E46:E68,"Check Inputs",1,1)</f>
        <v>-201</v>
      </c>
      <c r="D38" s="509"/>
      <c r="E38" s="381" t="s">
        <v>341</v>
      </c>
      <c r="F38" s="381"/>
      <c r="G38" s="308">
        <v>0</v>
      </c>
      <c r="L38" s="66"/>
      <c r="S38" s="336" t="s">
        <v>631</v>
      </c>
      <c r="T38" s="337"/>
      <c r="U38" s="87">
        <v>-201</v>
      </c>
      <c r="V38" s="87">
        <v>-162.30000000000001</v>
      </c>
      <c r="W38" s="164">
        <v>239.9</v>
      </c>
    </row>
    <row r="39" spans="1:23" ht="18" x14ac:dyDescent="0.25">
      <c r="A39" s="380" t="s">
        <v>340</v>
      </c>
      <c r="B39" s="381"/>
      <c r="C39" s="509">
        <f>_xlfn.XLOOKUP(C37,A46:A68,C46:C68,"Check Inputs",1,1)</f>
        <v>-239.2</v>
      </c>
      <c r="D39" s="509"/>
      <c r="E39" s="381" t="s">
        <v>345</v>
      </c>
      <c r="F39" s="381"/>
      <c r="G39" s="310">
        <f>(C40-C41)</f>
        <v>113.10000000000001</v>
      </c>
      <c r="L39" s="67"/>
      <c r="S39" s="336" t="s">
        <v>632</v>
      </c>
      <c r="T39" s="337"/>
      <c r="U39" s="87">
        <v>-279.5</v>
      </c>
      <c r="V39" s="87">
        <v>-346.74</v>
      </c>
      <c r="W39" s="164">
        <v>253.5</v>
      </c>
    </row>
    <row r="40" spans="1:23" x14ac:dyDescent="0.25">
      <c r="A40" s="380" t="s">
        <v>342</v>
      </c>
      <c r="B40" s="381"/>
      <c r="C40" s="509">
        <f>_xlfn.XLOOKUP(C37,A46:A68,F46:F68,"Check Input",1,1)</f>
        <v>239.9</v>
      </c>
      <c r="D40" s="509"/>
      <c r="E40" s="381" t="s">
        <v>352</v>
      </c>
      <c r="F40" s="381"/>
      <c r="G40" s="490"/>
      <c r="S40" s="336" t="s">
        <v>633</v>
      </c>
      <c r="T40" s="337"/>
      <c r="U40" s="87">
        <v>-1237.3</v>
      </c>
      <c r="V40" s="87">
        <v>-910.4</v>
      </c>
      <c r="W40" s="164">
        <v>212.1</v>
      </c>
    </row>
    <row r="41" spans="1:23" x14ac:dyDescent="0.25">
      <c r="A41" s="380" t="s">
        <v>343</v>
      </c>
      <c r="B41" s="381"/>
      <c r="C41" s="509">
        <f>_xlfn.XLOOKUP(C37,A46:A68,D46:D68,"Check Input",1,1)</f>
        <v>126.8</v>
      </c>
      <c r="D41" s="509"/>
      <c r="E41" s="325" t="s">
        <v>354</v>
      </c>
      <c r="F41" s="504">
        <f>((G37-G38)/G39)</f>
        <v>337.75419982316521</v>
      </c>
      <c r="G41" s="505"/>
      <c r="S41" s="336" t="s">
        <v>634</v>
      </c>
      <c r="T41" s="337"/>
      <c r="U41" s="87">
        <v>-110.5</v>
      </c>
      <c r="V41" s="87">
        <v>-137.19999999999999</v>
      </c>
      <c r="W41" s="164">
        <v>197.7</v>
      </c>
    </row>
    <row r="42" spans="1:23" ht="15.75" thickBot="1" x14ac:dyDescent="0.3">
      <c r="A42" s="630"/>
      <c r="B42" s="631"/>
      <c r="C42" s="631"/>
      <c r="D42" s="631"/>
      <c r="E42" s="16" t="s">
        <v>353</v>
      </c>
      <c r="F42" s="515">
        <f>((G37-G38)/G39)-Kelvin</f>
        <v>64.604199823165231</v>
      </c>
      <c r="G42" s="577"/>
      <c r="S42" s="336" t="s">
        <v>635</v>
      </c>
      <c r="T42" s="337"/>
      <c r="U42" s="87">
        <v>-393.5</v>
      </c>
      <c r="V42" s="87">
        <v>-394.4</v>
      </c>
      <c r="W42" s="164">
        <v>213.8</v>
      </c>
    </row>
    <row r="43" spans="1:23" x14ac:dyDescent="0.25">
      <c r="A43" s="732" t="s">
        <v>596</v>
      </c>
      <c r="B43" s="733"/>
      <c r="C43" s="330" t="s">
        <v>597</v>
      </c>
      <c r="D43" s="330" t="s">
        <v>599</v>
      </c>
      <c r="E43" s="330" t="s">
        <v>597</v>
      </c>
      <c r="F43" s="331" t="s">
        <v>599</v>
      </c>
      <c r="G43" s="740"/>
      <c r="S43" s="336" t="s">
        <v>636</v>
      </c>
      <c r="T43" s="337"/>
      <c r="U43" s="87">
        <v>-277.60000000000002</v>
      </c>
      <c r="V43" s="87">
        <v>-174.8</v>
      </c>
      <c r="W43" s="164">
        <v>160.69999999999999</v>
      </c>
    </row>
    <row r="44" spans="1:23" x14ac:dyDescent="0.25">
      <c r="A44" s="734"/>
      <c r="B44" s="735"/>
      <c r="C44" s="367" t="s">
        <v>1344</v>
      </c>
      <c r="D44" s="367"/>
      <c r="E44" s="367" t="s">
        <v>1345</v>
      </c>
      <c r="F44" s="549"/>
      <c r="G44" s="741"/>
      <c r="S44" s="336" t="s">
        <v>637</v>
      </c>
      <c r="T44" s="337"/>
      <c r="U44" s="87">
        <v>-234.8</v>
      </c>
      <c r="V44" s="87">
        <v>-167.9</v>
      </c>
      <c r="W44" s="164">
        <v>281.60000000000002</v>
      </c>
    </row>
    <row r="45" spans="1:23" x14ac:dyDescent="0.25">
      <c r="A45" s="345" t="s">
        <v>606</v>
      </c>
      <c r="B45" s="346"/>
      <c r="C45" s="346"/>
      <c r="D45" s="346"/>
      <c r="E45" s="346"/>
      <c r="F45" s="731"/>
      <c r="G45" s="741"/>
      <c r="S45" s="336" t="s">
        <v>638</v>
      </c>
      <c r="T45" s="337"/>
      <c r="U45" s="87">
        <v>-484.3</v>
      </c>
      <c r="V45" s="87">
        <v>-389.9</v>
      </c>
      <c r="W45" s="164">
        <v>159.80000000000001</v>
      </c>
    </row>
    <row r="46" spans="1:23" x14ac:dyDescent="0.25">
      <c r="A46" s="736" t="s">
        <v>1335</v>
      </c>
      <c r="B46" s="737"/>
      <c r="C46" s="326">
        <v>0</v>
      </c>
      <c r="D46" s="326">
        <v>152.19999999999999</v>
      </c>
      <c r="E46" s="326">
        <v>30.9</v>
      </c>
      <c r="F46" s="328">
        <v>245.5</v>
      </c>
      <c r="G46" s="741"/>
      <c r="S46" s="336" t="s">
        <v>639</v>
      </c>
      <c r="T46" s="337"/>
      <c r="U46" s="87">
        <v>-472.8</v>
      </c>
      <c r="V46" s="87" t="s">
        <v>602</v>
      </c>
      <c r="W46" s="164" t="s">
        <v>602</v>
      </c>
    </row>
    <row r="47" spans="1:23" x14ac:dyDescent="0.25">
      <c r="A47" s="345" t="s">
        <v>617</v>
      </c>
      <c r="B47" s="346"/>
      <c r="C47" s="346"/>
      <c r="D47" s="346"/>
      <c r="E47" s="346"/>
      <c r="F47" s="731"/>
      <c r="G47" s="741"/>
      <c r="S47" s="336" t="s">
        <v>640</v>
      </c>
      <c r="T47" s="337"/>
      <c r="U47" s="87">
        <v>-432.2</v>
      </c>
      <c r="V47" s="87" t="s">
        <v>602</v>
      </c>
      <c r="W47" s="164">
        <v>283.5</v>
      </c>
    </row>
    <row r="48" spans="1:23" x14ac:dyDescent="0.25">
      <c r="A48" s="736" t="s">
        <v>1332</v>
      </c>
      <c r="B48" s="737"/>
      <c r="C48" s="326">
        <v>-128.19999999999999</v>
      </c>
      <c r="D48" s="326">
        <v>214.4</v>
      </c>
      <c r="E48" s="326">
        <v>-95.7</v>
      </c>
      <c r="F48" s="328">
        <v>309.39999999999998</v>
      </c>
      <c r="G48" s="741"/>
      <c r="S48" s="336" t="s">
        <v>641</v>
      </c>
      <c r="T48" s="337"/>
      <c r="U48" s="87">
        <v>108.9</v>
      </c>
      <c r="V48" s="87">
        <v>125</v>
      </c>
      <c r="W48" s="164">
        <v>112.8</v>
      </c>
    </row>
    <row r="49" spans="1:23" x14ac:dyDescent="0.25">
      <c r="A49" s="736" t="s">
        <v>1330</v>
      </c>
      <c r="B49" s="737"/>
      <c r="C49" s="326">
        <v>-147.30000000000001</v>
      </c>
      <c r="D49" s="326">
        <v>231</v>
      </c>
      <c r="E49" s="326">
        <v>-125.7</v>
      </c>
      <c r="F49" s="328">
        <v>310</v>
      </c>
      <c r="G49" s="741"/>
      <c r="S49" s="336" t="s">
        <v>642</v>
      </c>
      <c r="T49" s="337"/>
      <c r="U49" s="87">
        <v>135.1</v>
      </c>
      <c r="V49" s="87">
        <v>124.7</v>
      </c>
      <c r="W49" s="164">
        <v>201.8</v>
      </c>
    </row>
    <row r="50" spans="1:23" x14ac:dyDescent="0.25">
      <c r="A50" s="736" t="s">
        <v>1336</v>
      </c>
      <c r="B50" s="737"/>
      <c r="C50" s="326">
        <v>49.1</v>
      </c>
      <c r="D50" s="326">
        <v>173.4</v>
      </c>
      <c r="E50" s="326">
        <v>82.9</v>
      </c>
      <c r="F50" s="328">
        <v>269.2</v>
      </c>
      <c r="G50" s="741"/>
      <c r="S50" s="336" t="s">
        <v>643</v>
      </c>
      <c r="T50" s="337"/>
      <c r="U50" s="87">
        <v>93.8</v>
      </c>
      <c r="V50" s="87" t="s">
        <v>602</v>
      </c>
      <c r="W50" s="164" t="s">
        <v>602</v>
      </c>
    </row>
    <row r="51" spans="1:23" x14ac:dyDescent="0.25">
      <c r="A51" s="736" t="s">
        <v>1337</v>
      </c>
      <c r="B51" s="737"/>
      <c r="C51" s="326">
        <v>-239.2</v>
      </c>
      <c r="D51" s="326">
        <v>126.8</v>
      </c>
      <c r="E51" s="326">
        <v>-201</v>
      </c>
      <c r="F51" s="328">
        <v>239.9</v>
      </c>
      <c r="G51" s="741"/>
      <c r="S51" s="336" t="s">
        <v>644</v>
      </c>
      <c r="T51" s="337"/>
      <c r="U51" s="87">
        <v>89</v>
      </c>
      <c r="V51" s="87">
        <v>64.599999999999994</v>
      </c>
      <c r="W51" s="164">
        <v>151.30000000000001</v>
      </c>
    </row>
    <row r="52" spans="1:23" x14ac:dyDescent="0.25">
      <c r="A52" s="736" t="s">
        <v>1338</v>
      </c>
      <c r="B52" s="737"/>
      <c r="C52" s="326">
        <v>-277.60000000000002</v>
      </c>
      <c r="D52" s="326">
        <v>160.69999999999999</v>
      </c>
      <c r="E52" s="326">
        <v>-234.8</v>
      </c>
      <c r="F52" s="328">
        <v>281.60000000000002</v>
      </c>
      <c r="G52" s="741"/>
      <c r="S52" s="336" t="s">
        <v>645</v>
      </c>
      <c r="T52" s="337"/>
      <c r="U52" s="87">
        <v>116.7</v>
      </c>
      <c r="V52" s="87">
        <v>67.099999999999994</v>
      </c>
      <c r="W52" s="164">
        <v>237.8</v>
      </c>
    </row>
    <row r="53" spans="1:23" x14ac:dyDescent="0.25">
      <c r="A53" s="736" t="s">
        <v>1339</v>
      </c>
      <c r="B53" s="737"/>
      <c r="C53" s="326">
        <v>-484.3</v>
      </c>
      <c r="D53" s="326">
        <v>159.80000000000001</v>
      </c>
      <c r="E53" s="326">
        <v>-432.2</v>
      </c>
      <c r="F53" s="328">
        <v>283.5</v>
      </c>
      <c r="G53" s="741"/>
      <c r="S53" s="353" t="s">
        <v>646</v>
      </c>
      <c r="T53" s="354"/>
      <c r="U53" s="354"/>
      <c r="V53" s="354"/>
      <c r="W53" s="355"/>
    </row>
    <row r="54" spans="1:23" x14ac:dyDescent="0.25">
      <c r="A54" s="736" t="s">
        <v>954</v>
      </c>
      <c r="B54" s="737"/>
      <c r="C54" s="326">
        <v>108.9</v>
      </c>
      <c r="D54" s="326">
        <v>112.8</v>
      </c>
      <c r="E54" s="326">
        <v>135.1</v>
      </c>
      <c r="F54" s="328">
        <v>201.8</v>
      </c>
      <c r="G54" s="741"/>
      <c r="S54" s="336" t="s">
        <v>647</v>
      </c>
      <c r="T54" s="337"/>
      <c r="U54" s="87">
        <v>0</v>
      </c>
      <c r="V54" s="87">
        <v>0</v>
      </c>
      <c r="W54" s="164">
        <v>223.1</v>
      </c>
    </row>
    <row r="55" spans="1:23" x14ac:dyDescent="0.25">
      <c r="A55" s="736" t="s">
        <v>1340</v>
      </c>
      <c r="B55" s="737"/>
      <c r="C55" s="326">
        <v>89</v>
      </c>
      <c r="D55" s="326">
        <v>151.30000000000001</v>
      </c>
      <c r="E55" s="326">
        <v>116.7</v>
      </c>
      <c r="F55" s="328">
        <v>237.8</v>
      </c>
      <c r="G55" s="741"/>
      <c r="S55" s="336" t="s">
        <v>648</v>
      </c>
      <c r="T55" s="337"/>
      <c r="U55" s="87" t="s">
        <v>602</v>
      </c>
      <c r="V55" s="87">
        <v>-131.19999999999999</v>
      </c>
      <c r="W55" s="164" t="s">
        <v>602</v>
      </c>
    </row>
    <row r="56" spans="1:23" x14ac:dyDescent="0.25">
      <c r="A56" s="345" t="s">
        <v>670</v>
      </c>
      <c r="B56" s="346"/>
      <c r="C56" s="346"/>
      <c r="D56" s="346"/>
      <c r="E56" s="346"/>
      <c r="F56" s="731"/>
      <c r="G56" s="741"/>
      <c r="S56" s="336" t="s">
        <v>649</v>
      </c>
      <c r="T56" s="337"/>
      <c r="U56" s="87">
        <v>-167</v>
      </c>
      <c r="V56" s="87" t="s">
        <v>602</v>
      </c>
      <c r="W56" s="164" t="s">
        <v>602</v>
      </c>
    </row>
    <row r="57" spans="1:23" x14ac:dyDescent="0.25">
      <c r="A57" s="736" t="s">
        <v>271</v>
      </c>
      <c r="B57" s="737"/>
      <c r="C57" s="326">
        <v>0</v>
      </c>
      <c r="D57" s="326">
        <v>75.900000000000006</v>
      </c>
      <c r="E57" s="326">
        <v>61.4</v>
      </c>
      <c r="F57" s="328">
        <v>175</v>
      </c>
      <c r="G57" s="741"/>
      <c r="S57" s="336" t="s">
        <v>650</v>
      </c>
      <c r="T57" s="337"/>
      <c r="U57" s="87">
        <v>-92.3</v>
      </c>
      <c r="V57" s="87">
        <v>-95.3</v>
      </c>
      <c r="W57" s="164">
        <v>186.9</v>
      </c>
    </row>
    <row r="58" spans="1:23" x14ac:dyDescent="0.25">
      <c r="A58" s="345" t="s">
        <v>676</v>
      </c>
      <c r="B58" s="346"/>
      <c r="C58" s="346"/>
      <c r="D58" s="346"/>
      <c r="E58" s="346"/>
      <c r="F58" s="731"/>
      <c r="G58" s="741"/>
      <c r="S58" s="348" t="s">
        <v>651</v>
      </c>
      <c r="T58" s="349"/>
      <c r="U58" s="349"/>
      <c r="V58" s="349"/>
      <c r="W58" s="350"/>
    </row>
    <row r="59" spans="1:23" x14ac:dyDescent="0.25">
      <c r="A59" s="736" t="s">
        <v>1311</v>
      </c>
      <c r="B59" s="737"/>
      <c r="C59" s="326">
        <v>50.6</v>
      </c>
      <c r="D59" s="326">
        <v>121.2</v>
      </c>
      <c r="E59" s="326">
        <v>95.4</v>
      </c>
      <c r="F59" s="328">
        <v>238.5</v>
      </c>
      <c r="G59" s="741"/>
      <c r="S59" s="336" t="s">
        <v>652</v>
      </c>
      <c r="T59" s="337"/>
      <c r="U59" s="87" t="s">
        <v>602</v>
      </c>
      <c r="V59" s="87">
        <v>-727.8</v>
      </c>
      <c r="W59" s="164" t="s">
        <v>602</v>
      </c>
    </row>
    <row r="60" spans="1:23" x14ac:dyDescent="0.25">
      <c r="A60" s="736" t="s">
        <v>859</v>
      </c>
      <c r="B60" s="737"/>
      <c r="C60" s="326">
        <v>-69.540000000000006</v>
      </c>
      <c r="D60" s="326">
        <v>95.09</v>
      </c>
      <c r="E60" s="326">
        <v>-45.9</v>
      </c>
      <c r="F60" s="328">
        <v>192.8</v>
      </c>
      <c r="G60" s="741"/>
      <c r="S60" s="348" t="s">
        <v>653</v>
      </c>
      <c r="T60" s="349"/>
      <c r="U60" s="349"/>
      <c r="V60" s="349"/>
      <c r="W60" s="350"/>
    </row>
    <row r="61" spans="1:23" x14ac:dyDescent="0.25">
      <c r="A61" s="736" t="s">
        <v>925</v>
      </c>
      <c r="B61" s="737"/>
      <c r="C61" s="326">
        <v>-174.1</v>
      </c>
      <c r="D61" s="326">
        <v>155.6</v>
      </c>
      <c r="E61" s="326">
        <v>-133.9</v>
      </c>
      <c r="F61" s="328">
        <v>266.89999999999998</v>
      </c>
      <c r="G61" s="741"/>
      <c r="S61" s="336" t="s">
        <v>654</v>
      </c>
      <c r="T61" s="337"/>
      <c r="U61" s="87">
        <v>0</v>
      </c>
      <c r="V61" s="87">
        <v>0</v>
      </c>
      <c r="W61" s="164">
        <v>202.8</v>
      </c>
    </row>
    <row r="62" spans="1:23" x14ac:dyDescent="0.25">
      <c r="A62" s="345" t="s">
        <v>194</v>
      </c>
      <c r="B62" s="346"/>
      <c r="C62" s="346"/>
      <c r="D62" s="346"/>
      <c r="E62" s="346"/>
      <c r="F62" s="731"/>
      <c r="G62" s="741"/>
      <c r="S62" s="336" t="s">
        <v>655</v>
      </c>
      <c r="T62" s="337"/>
      <c r="U62" s="87">
        <v>-273.3</v>
      </c>
      <c r="V62" s="87">
        <v>-275.39999999999998</v>
      </c>
      <c r="W62" s="164">
        <v>173.8</v>
      </c>
    </row>
    <row r="63" spans="1:23" x14ac:dyDescent="0.25">
      <c r="A63" s="736" t="s">
        <v>1316</v>
      </c>
      <c r="B63" s="737"/>
      <c r="C63" s="326">
        <v>-285.8</v>
      </c>
      <c r="D63" s="326">
        <v>70</v>
      </c>
      <c r="E63" s="326">
        <v>-241.8</v>
      </c>
      <c r="F63" s="328">
        <v>188.8</v>
      </c>
      <c r="G63" s="741"/>
      <c r="S63" s="348" t="s">
        <v>656</v>
      </c>
      <c r="T63" s="349"/>
      <c r="U63" s="349"/>
      <c r="V63" s="349"/>
      <c r="W63" s="350"/>
    </row>
    <row r="64" spans="1:23" x14ac:dyDescent="0.25">
      <c r="A64" s="736" t="s">
        <v>1342</v>
      </c>
      <c r="B64" s="737"/>
      <c r="C64" s="326">
        <v>-187.8</v>
      </c>
      <c r="D64" s="326">
        <v>109.6</v>
      </c>
      <c r="E64" s="326">
        <v>-136.30000000000001</v>
      </c>
      <c r="F64" s="328">
        <v>232.7</v>
      </c>
      <c r="G64" s="741"/>
      <c r="S64" s="336" t="s">
        <v>657</v>
      </c>
      <c r="T64" s="337"/>
      <c r="U64" s="87">
        <v>0</v>
      </c>
      <c r="V64" s="87">
        <v>0</v>
      </c>
      <c r="W64" s="164">
        <v>130.69999999999999</v>
      </c>
    </row>
    <row r="65" spans="1:23" x14ac:dyDescent="0.25">
      <c r="A65" s="345" t="s">
        <v>696</v>
      </c>
      <c r="B65" s="346"/>
      <c r="C65" s="346"/>
      <c r="D65" s="346"/>
      <c r="E65" s="346"/>
      <c r="F65" s="731"/>
      <c r="G65" s="741"/>
      <c r="S65" s="353" t="s">
        <v>658</v>
      </c>
      <c r="T65" s="354"/>
      <c r="U65" s="354"/>
      <c r="V65" s="354"/>
      <c r="W65" s="355"/>
    </row>
    <row r="66" spans="1:23" x14ac:dyDescent="0.25">
      <c r="A66" s="736" t="s">
        <v>1341</v>
      </c>
      <c r="B66" s="737"/>
      <c r="C66" s="326">
        <v>-319.7</v>
      </c>
      <c r="D66" s="326">
        <v>217.1</v>
      </c>
      <c r="E66" s="326">
        <v>-287</v>
      </c>
      <c r="F66" s="328">
        <v>311.8</v>
      </c>
      <c r="G66" s="741"/>
      <c r="S66" s="336" t="s">
        <v>659</v>
      </c>
      <c r="T66" s="337"/>
      <c r="U66" s="87">
        <v>0</v>
      </c>
      <c r="V66" s="87">
        <v>0</v>
      </c>
      <c r="W66" s="164">
        <v>27.3</v>
      </c>
    </row>
    <row r="67" spans="1:23" x14ac:dyDescent="0.25">
      <c r="A67" s="345" t="s">
        <v>723</v>
      </c>
      <c r="B67" s="346"/>
      <c r="C67" s="346"/>
      <c r="D67" s="346"/>
      <c r="E67" s="346"/>
      <c r="F67" s="731"/>
      <c r="G67" s="741"/>
      <c r="S67" s="336" t="s">
        <v>660</v>
      </c>
      <c r="T67" s="337"/>
      <c r="U67" s="87">
        <v>-399.5</v>
      </c>
      <c r="V67" s="87">
        <v>-334</v>
      </c>
      <c r="W67" s="164">
        <v>142.30000000000001</v>
      </c>
    </row>
    <row r="68" spans="1:23" ht="15.75" thickBot="1" x14ac:dyDescent="0.3">
      <c r="A68" s="738" t="s">
        <v>1343</v>
      </c>
      <c r="B68" s="739"/>
      <c r="C68" s="327">
        <v>-804.2</v>
      </c>
      <c r="D68" s="327">
        <v>252.3</v>
      </c>
      <c r="E68" s="327">
        <v>-763.2</v>
      </c>
      <c r="F68" s="329">
        <v>353.2</v>
      </c>
      <c r="G68" s="742"/>
      <c r="S68" s="336" t="s">
        <v>661</v>
      </c>
      <c r="T68" s="337"/>
      <c r="U68" s="87">
        <v>-824.2</v>
      </c>
      <c r="V68" s="87">
        <v>-742.2</v>
      </c>
      <c r="W68" s="164">
        <v>87.4</v>
      </c>
    </row>
    <row r="69" spans="1:23" x14ac:dyDescent="0.25">
      <c r="S69" s="353" t="s">
        <v>662</v>
      </c>
      <c r="T69" s="354"/>
      <c r="U69" s="354"/>
      <c r="V69" s="354"/>
      <c r="W69" s="355"/>
    </row>
    <row r="70" spans="1:23" x14ac:dyDescent="0.25">
      <c r="S70" s="336" t="s">
        <v>663</v>
      </c>
      <c r="T70" s="337"/>
      <c r="U70" s="87" t="s">
        <v>602</v>
      </c>
      <c r="V70" s="87">
        <v>-24.4</v>
      </c>
      <c r="W70" s="164" t="s">
        <v>602</v>
      </c>
    </row>
    <row r="71" spans="1:23" x14ac:dyDescent="0.25">
      <c r="S71" s="336" t="s">
        <v>664</v>
      </c>
      <c r="T71" s="337"/>
      <c r="U71" s="87">
        <v>-278.7</v>
      </c>
      <c r="V71" s="87">
        <v>-261.89999999999998</v>
      </c>
      <c r="W71" s="164">
        <v>161.5</v>
      </c>
    </row>
    <row r="72" spans="1:23" x14ac:dyDescent="0.25">
      <c r="S72" s="336" t="s">
        <v>665</v>
      </c>
      <c r="T72" s="337"/>
      <c r="U72" s="87">
        <v>-100.4</v>
      </c>
      <c r="V72" s="87">
        <v>-98.7</v>
      </c>
      <c r="W72" s="164">
        <v>91.2</v>
      </c>
    </row>
    <row r="73" spans="1:23" x14ac:dyDescent="0.25">
      <c r="S73" s="336" t="s">
        <v>666</v>
      </c>
      <c r="T73" s="337"/>
      <c r="U73" s="87">
        <v>-920</v>
      </c>
      <c r="V73" s="87">
        <v>-813</v>
      </c>
      <c r="W73" s="164">
        <v>148.5</v>
      </c>
    </row>
    <row r="74" spans="1:23" x14ac:dyDescent="0.25">
      <c r="S74" s="353" t="s">
        <v>667</v>
      </c>
      <c r="T74" s="354"/>
      <c r="U74" s="354"/>
      <c r="V74" s="354"/>
      <c r="W74" s="355"/>
    </row>
    <row r="75" spans="1:23" x14ac:dyDescent="0.25">
      <c r="S75" s="336" t="s">
        <v>668</v>
      </c>
      <c r="T75" s="337"/>
      <c r="U75" s="87">
        <v>-641.29999999999995</v>
      </c>
      <c r="V75" s="87">
        <v>-591.79999999999995</v>
      </c>
      <c r="W75" s="164">
        <v>89.6</v>
      </c>
    </row>
    <row r="76" spans="1:23" x14ac:dyDescent="0.25">
      <c r="S76" s="336" t="s">
        <v>669</v>
      </c>
      <c r="T76" s="337"/>
      <c r="U76" s="87">
        <v>-601.6</v>
      </c>
      <c r="V76" s="87">
        <v>-569.29999999999995</v>
      </c>
      <c r="W76" s="164">
        <v>27</v>
      </c>
    </row>
    <row r="77" spans="1:23" x14ac:dyDescent="0.25">
      <c r="S77" s="353" t="s">
        <v>670</v>
      </c>
      <c r="T77" s="354"/>
      <c r="U77" s="354"/>
      <c r="V77" s="354"/>
      <c r="W77" s="355"/>
    </row>
    <row r="78" spans="1:23" x14ac:dyDescent="0.25">
      <c r="S78" s="336" t="s">
        <v>671</v>
      </c>
      <c r="T78" s="337"/>
      <c r="U78" s="87">
        <v>61.4</v>
      </c>
      <c r="V78" s="87">
        <v>31.8</v>
      </c>
      <c r="W78" s="164">
        <v>175</v>
      </c>
    </row>
    <row r="79" spans="1:23" x14ac:dyDescent="0.25">
      <c r="S79" s="336" t="s">
        <v>672</v>
      </c>
      <c r="T79" s="337"/>
      <c r="U79" s="87">
        <v>0</v>
      </c>
      <c r="V79" s="87">
        <v>0</v>
      </c>
      <c r="W79" s="164">
        <v>75.900000000000006</v>
      </c>
    </row>
    <row r="80" spans="1:23" x14ac:dyDescent="0.25">
      <c r="S80" s="336" t="s">
        <v>673</v>
      </c>
      <c r="T80" s="337"/>
      <c r="U80" s="87">
        <v>-2.29</v>
      </c>
      <c r="V80" s="87" t="s">
        <v>602</v>
      </c>
      <c r="W80" s="164" t="s">
        <v>602</v>
      </c>
    </row>
    <row r="81" spans="19:23" x14ac:dyDescent="0.25">
      <c r="S81" s="336" t="s">
        <v>674</v>
      </c>
      <c r="T81" s="337"/>
      <c r="U81" s="87" t="s">
        <v>602</v>
      </c>
      <c r="V81" s="87">
        <v>153.5</v>
      </c>
      <c r="W81" s="164" t="s">
        <v>602</v>
      </c>
    </row>
    <row r="82" spans="19:23" x14ac:dyDescent="0.25">
      <c r="S82" s="336" t="s">
        <v>675</v>
      </c>
      <c r="T82" s="337"/>
      <c r="U82" s="87" t="s">
        <v>602</v>
      </c>
      <c r="V82" s="87">
        <v>-210.7</v>
      </c>
      <c r="W82" s="164" t="s">
        <v>602</v>
      </c>
    </row>
    <row r="83" spans="19:23" x14ac:dyDescent="0.25">
      <c r="S83" s="348" t="s">
        <v>676</v>
      </c>
      <c r="T83" s="349"/>
      <c r="U83" s="349"/>
      <c r="V83" s="349"/>
      <c r="W83" s="350"/>
    </row>
    <row r="84" spans="19:23" x14ac:dyDescent="0.25">
      <c r="S84" s="336" t="s">
        <v>677</v>
      </c>
      <c r="T84" s="337"/>
      <c r="U84" s="87">
        <v>0</v>
      </c>
      <c r="V84" s="87">
        <v>0</v>
      </c>
      <c r="W84" s="164">
        <v>191.6</v>
      </c>
    </row>
    <row r="85" spans="19:23" x14ac:dyDescent="0.25">
      <c r="S85" s="336" t="s">
        <v>678</v>
      </c>
      <c r="T85" s="337"/>
      <c r="U85" s="87">
        <v>95.4</v>
      </c>
      <c r="V85" s="87">
        <v>159.4</v>
      </c>
      <c r="W85" s="164">
        <v>238.5</v>
      </c>
    </row>
    <row r="86" spans="19:23" x14ac:dyDescent="0.25">
      <c r="S86" s="336" t="s">
        <v>679</v>
      </c>
      <c r="T86" s="337"/>
      <c r="U86" s="87">
        <v>50.6</v>
      </c>
      <c r="V86" s="87">
        <v>149.30000000000001</v>
      </c>
      <c r="W86" s="164">
        <v>121.2</v>
      </c>
    </row>
    <row r="87" spans="19:23" x14ac:dyDescent="0.25">
      <c r="S87" s="336" t="s">
        <v>680</v>
      </c>
      <c r="T87" s="337"/>
      <c r="U87" s="87">
        <v>-45.9</v>
      </c>
      <c r="V87" s="87">
        <v>-16.399999999999999</v>
      </c>
      <c r="W87" s="164">
        <v>192.8</v>
      </c>
    </row>
    <row r="88" spans="19:23" x14ac:dyDescent="0.25">
      <c r="S88" s="336" t="s">
        <v>681</v>
      </c>
      <c r="T88" s="337"/>
      <c r="U88" s="87">
        <v>-69.540000000000006</v>
      </c>
      <c r="V88" s="87">
        <v>-26.5</v>
      </c>
      <c r="W88" s="164">
        <v>95.09</v>
      </c>
    </row>
    <row r="89" spans="19:23" x14ac:dyDescent="0.25">
      <c r="S89" s="336" t="s">
        <v>682</v>
      </c>
      <c r="T89" s="337"/>
      <c r="U89" s="87">
        <v>-365.6</v>
      </c>
      <c r="V89" s="87">
        <v>-183.9</v>
      </c>
      <c r="W89" s="164">
        <v>151.1</v>
      </c>
    </row>
    <row r="90" spans="19:23" x14ac:dyDescent="0.25">
      <c r="S90" s="336" t="s">
        <v>683</v>
      </c>
      <c r="T90" s="337"/>
      <c r="U90" s="87">
        <v>91.3</v>
      </c>
      <c r="V90" s="87">
        <v>87.6</v>
      </c>
      <c r="W90" s="164">
        <v>210.8</v>
      </c>
    </row>
    <row r="91" spans="19:23" x14ac:dyDescent="0.25">
      <c r="S91" s="336" t="s">
        <v>684</v>
      </c>
      <c r="T91" s="337"/>
      <c r="U91" s="87">
        <v>33.200000000000003</v>
      </c>
      <c r="V91" s="87">
        <v>51.3</v>
      </c>
      <c r="W91" s="164">
        <v>240.1</v>
      </c>
    </row>
    <row r="92" spans="19:23" x14ac:dyDescent="0.25">
      <c r="S92" s="336" t="s">
        <v>685</v>
      </c>
      <c r="T92" s="337"/>
      <c r="U92" s="87">
        <v>51.7</v>
      </c>
      <c r="V92" s="87">
        <v>66.099999999999994</v>
      </c>
      <c r="W92" s="164">
        <v>261.7</v>
      </c>
    </row>
    <row r="93" spans="19:23" x14ac:dyDescent="0.25">
      <c r="S93" s="336" t="s">
        <v>686</v>
      </c>
      <c r="T93" s="337"/>
      <c r="U93" s="87">
        <v>11.1</v>
      </c>
      <c r="V93" s="87">
        <v>99.8</v>
      </c>
      <c r="W93" s="164">
        <v>304.39999999999998</v>
      </c>
    </row>
    <row r="94" spans="19:23" x14ac:dyDescent="0.25">
      <c r="S94" s="336" t="s">
        <v>687</v>
      </c>
      <c r="T94" s="337"/>
      <c r="U94" s="87">
        <v>-79.5</v>
      </c>
      <c r="V94" s="87" t="s">
        <v>602</v>
      </c>
      <c r="W94" s="164" t="s">
        <v>602</v>
      </c>
    </row>
    <row r="95" spans="19:23" x14ac:dyDescent="0.25">
      <c r="S95" s="336" t="s">
        <v>688</v>
      </c>
      <c r="T95" s="337"/>
      <c r="U95" s="87">
        <v>-174.1</v>
      </c>
      <c r="V95" s="87">
        <v>-80.7</v>
      </c>
      <c r="W95" s="164">
        <v>155.6</v>
      </c>
    </row>
    <row r="96" spans="19:23" x14ac:dyDescent="0.25">
      <c r="S96" s="336" t="s">
        <v>689</v>
      </c>
      <c r="T96" s="337"/>
      <c r="U96" s="87">
        <v>-133.9</v>
      </c>
      <c r="V96" s="87">
        <v>-73.5</v>
      </c>
      <c r="W96" s="164">
        <v>266.89999999999998</v>
      </c>
    </row>
    <row r="97" spans="19:23" x14ac:dyDescent="0.25">
      <c r="S97" s="348" t="s">
        <v>194</v>
      </c>
      <c r="T97" s="349"/>
      <c r="U97" s="349"/>
      <c r="V97" s="349"/>
      <c r="W97" s="350"/>
    </row>
    <row r="98" spans="19:23" x14ac:dyDescent="0.25">
      <c r="S98" s="336" t="s">
        <v>690</v>
      </c>
      <c r="T98" s="337"/>
      <c r="U98" s="87" t="s">
        <v>602</v>
      </c>
      <c r="V98" s="87">
        <v>-157.19999999999999</v>
      </c>
      <c r="W98" s="164" t="s">
        <v>602</v>
      </c>
    </row>
    <row r="99" spans="19:23" x14ac:dyDescent="0.25">
      <c r="S99" s="336" t="s">
        <v>691</v>
      </c>
      <c r="T99" s="337"/>
      <c r="U99" s="87">
        <v>-285.8</v>
      </c>
      <c r="V99" s="87">
        <v>-237.1</v>
      </c>
      <c r="W99" s="164">
        <v>70</v>
      </c>
    </row>
    <row r="100" spans="19:23" x14ac:dyDescent="0.25">
      <c r="S100" s="336" t="s">
        <v>692</v>
      </c>
      <c r="T100" s="337"/>
      <c r="U100" s="87">
        <v>-241.8</v>
      </c>
      <c r="V100" s="87">
        <v>-228.6</v>
      </c>
      <c r="W100" s="164">
        <v>188.8</v>
      </c>
    </row>
    <row r="101" spans="19:23" x14ac:dyDescent="0.25">
      <c r="S101" s="336" t="s">
        <v>693</v>
      </c>
      <c r="T101" s="337"/>
      <c r="U101" s="87">
        <v>0</v>
      </c>
      <c r="V101" s="87">
        <v>0</v>
      </c>
      <c r="W101" s="164">
        <v>205.2</v>
      </c>
    </row>
    <row r="102" spans="19:23" x14ac:dyDescent="0.25">
      <c r="S102" s="336" t="s">
        <v>694</v>
      </c>
      <c r="T102" s="337"/>
      <c r="U102" s="87">
        <v>-187.8</v>
      </c>
      <c r="V102" s="87">
        <v>-120.4</v>
      </c>
      <c r="W102" s="164">
        <v>109.6</v>
      </c>
    </row>
    <row r="103" spans="19:23" x14ac:dyDescent="0.25">
      <c r="S103" s="336" t="s">
        <v>695</v>
      </c>
      <c r="T103" s="337"/>
      <c r="U103" s="87">
        <v>-136.30000000000001</v>
      </c>
      <c r="V103" s="87">
        <v>-105.6</v>
      </c>
      <c r="W103" s="164">
        <v>232.7</v>
      </c>
    </row>
    <row r="104" spans="19:23" x14ac:dyDescent="0.25">
      <c r="S104" s="348" t="s">
        <v>696</v>
      </c>
      <c r="T104" s="349"/>
      <c r="U104" s="349"/>
      <c r="V104" s="349"/>
      <c r="W104" s="350"/>
    </row>
    <row r="105" spans="19:23" x14ac:dyDescent="0.25">
      <c r="S105" s="336" t="s">
        <v>697</v>
      </c>
      <c r="T105" s="337"/>
      <c r="U105" s="87">
        <v>0</v>
      </c>
      <c r="V105" s="87">
        <v>0</v>
      </c>
      <c r="W105" s="164">
        <v>41</v>
      </c>
    </row>
    <row r="106" spans="19:23" x14ac:dyDescent="0.25">
      <c r="S106" s="336" t="s">
        <v>698</v>
      </c>
      <c r="T106" s="337"/>
      <c r="U106" s="87">
        <v>58.9</v>
      </c>
      <c r="V106" s="87">
        <v>24.4</v>
      </c>
      <c r="W106" s="164">
        <v>280</v>
      </c>
    </row>
    <row r="107" spans="19:23" x14ac:dyDescent="0.25">
      <c r="S107" s="336" t="s">
        <v>699</v>
      </c>
      <c r="T107" s="337"/>
      <c r="U107" s="87">
        <v>-287</v>
      </c>
      <c r="V107" s="87">
        <v>-267.8</v>
      </c>
      <c r="W107" s="164">
        <v>311.8</v>
      </c>
    </row>
    <row r="108" spans="19:23" x14ac:dyDescent="0.25">
      <c r="S108" s="336" t="s">
        <v>700</v>
      </c>
      <c r="T108" s="337"/>
      <c r="U108" s="87">
        <v>-319.7</v>
      </c>
      <c r="V108" s="87">
        <v>-272.3</v>
      </c>
      <c r="W108" s="164">
        <v>217.1</v>
      </c>
    </row>
    <row r="109" spans="19:23" x14ac:dyDescent="0.25">
      <c r="S109" s="336" t="s">
        <v>701</v>
      </c>
      <c r="T109" s="337"/>
      <c r="U109" s="87">
        <v>-1594.4</v>
      </c>
      <c r="V109" s="87">
        <v>-1520.7</v>
      </c>
      <c r="W109" s="164">
        <v>300.8</v>
      </c>
    </row>
    <row r="110" spans="19:23" x14ac:dyDescent="0.25">
      <c r="S110" s="336" t="s">
        <v>702</v>
      </c>
      <c r="T110" s="337"/>
      <c r="U110" s="87" t="s">
        <v>602</v>
      </c>
      <c r="V110" s="87">
        <v>-1018.7</v>
      </c>
      <c r="W110" s="164" t="s">
        <v>602</v>
      </c>
    </row>
    <row r="111" spans="19:23" x14ac:dyDescent="0.25">
      <c r="S111" s="336" t="s">
        <v>703</v>
      </c>
      <c r="T111" s="337"/>
      <c r="U111" s="87">
        <v>-1271.7</v>
      </c>
      <c r="V111" s="87" t="s">
        <v>602</v>
      </c>
      <c r="W111" s="164" t="s">
        <v>602</v>
      </c>
    </row>
    <row r="112" spans="19:23" x14ac:dyDescent="0.25">
      <c r="S112" s="336" t="s">
        <v>704</v>
      </c>
      <c r="T112" s="337"/>
      <c r="U112" s="87">
        <v>-1284.4000000000001</v>
      </c>
      <c r="V112" s="87">
        <v>-1124.3</v>
      </c>
      <c r="W112" s="164">
        <v>110.5</v>
      </c>
    </row>
    <row r="113" spans="19:23" x14ac:dyDescent="0.25">
      <c r="S113" s="336" t="s">
        <v>705</v>
      </c>
      <c r="T113" s="337"/>
      <c r="U113" s="87">
        <v>-2984</v>
      </c>
      <c r="V113" s="87">
        <v>-2675.2</v>
      </c>
      <c r="W113" s="164">
        <v>228.9</v>
      </c>
    </row>
    <row r="114" spans="19:23" x14ac:dyDescent="0.25">
      <c r="S114" s="353" t="s">
        <v>706</v>
      </c>
      <c r="T114" s="354"/>
      <c r="U114" s="354"/>
      <c r="V114" s="354"/>
      <c r="W114" s="355"/>
    </row>
    <row r="115" spans="19:23" x14ac:dyDescent="0.25">
      <c r="S115" s="336" t="s">
        <v>707</v>
      </c>
      <c r="T115" s="337"/>
      <c r="U115" s="87">
        <v>-393.4</v>
      </c>
      <c r="V115" s="87">
        <v>-380.7</v>
      </c>
      <c r="W115" s="164">
        <v>95.9</v>
      </c>
    </row>
    <row r="116" spans="19:23" x14ac:dyDescent="0.25">
      <c r="S116" s="336" t="s">
        <v>708</v>
      </c>
      <c r="T116" s="337"/>
      <c r="U116" s="87">
        <v>-492.7</v>
      </c>
      <c r="V116" s="87">
        <v>-393.13</v>
      </c>
      <c r="W116" s="164">
        <v>132.9</v>
      </c>
    </row>
    <row r="117" spans="19:23" x14ac:dyDescent="0.25">
      <c r="S117" s="348" t="s">
        <v>709</v>
      </c>
      <c r="T117" s="349"/>
      <c r="U117" s="349"/>
      <c r="V117" s="349"/>
      <c r="W117" s="350"/>
    </row>
    <row r="118" spans="19:23" x14ac:dyDescent="0.25">
      <c r="S118" s="336" t="s">
        <v>710</v>
      </c>
      <c r="T118" s="337"/>
      <c r="U118" s="87" t="s">
        <v>602</v>
      </c>
      <c r="V118" s="87">
        <v>77.099999999999994</v>
      </c>
      <c r="W118" s="164" t="s">
        <v>602</v>
      </c>
    </row>
    <row r="119" spans="19:23" x14ac:dyDescent="0.25">
      <c r="S119" s="336" t="s">
        <v>711</v>
      </c>
      <c r="T119" s="337"/>
      <c r="U119" s="87" t="s">
        <v>602</v>
      </c>
      <c r="V119" s="87">
        <v>-641.79999999999995</v>
      </c>
      <c r="W119" s="164" t="s">
        <v>602</v>
      </c>
    </row>
    <row r="120" spans="19:23" x14ac:dyDescent="0.25">
      <c r="S120" s="353" t="s">
        <v>712</v>
      </c>
      <c r="T120" s="354"/>
      <c r="U120" s="354"/>
      <c r="V120" s="354"/>
      <c r="W120" s="355"/>
    </row>
    <row r="121" spans="19:23" x14ac:dyDescent="0.25">
      <c r="S121" s="336" t="s">
        <v>713</v>
      </c>
      <c r="T121" s="337"/>
      <c r="U121" s="87">
        <v>-411.2</v>
      </c>
      <c r="V121" s="87" t="s">
        <v>602</v>
      </c>
      <c r="W121" s="164" t="s">
        <v>602</v>
      </c>
    </row>
    <row r="122" spans="19:23" x14ac:dyDescent="0.25">
      <c r="S122" s="336" t="s">
        <v>714</v>
      </c>
      <c r="T122" s="337"/>
      <c r="U122" s="87">
        <v>-425.8</v>
      </c>
      <c r="V122" s="87" t="s">
        <v>602</v>
      </c>
      <c r="W122" s="164" t="s">
        <v>602</v>
      </c>
    </row>
    <row r="123" spans="19:23" x14ac:dyDescent="0.25">
      <c r="S123" s="336" t="s">
        <v>715</v>
      </c>
      <c r="T123" s="337"/>
      <c r="U123" s="87"/>
      <c r="V123" s="87"/>
      <c r="W123" s="164"/>
    </row>
    <row r="124" spans="19:23" x14ac:dyDescent="0.25">
      <c r="S124" s="336" t="s">
        <v>716</v>
      </c>
      <c r="T124" s="337"/>
      <c r="U124" s="87">
        <v>0</v>
      </c>
      <c r="V124" s="87">
        <v>0</v>
      </c>
      <c r="W124" s="164">
        <v>32</v>
      </c>
    </row>
    <row r="125" spans="19:23" x14ac:dyDescent="0.25">
      <c r="S125" s="336" t="s">
        <v>717</v>
      </c>
      <c r="T125" s="337"/>
      <c r="U125" s="87">
        <v>-20.6</v>
      </c>
      <c r="V125" s="87" t="s">
        <v>602</v>
      </c>
      <c r="W125" s="164" t="s">
        <v>602</v>
      </c>
    </row>
    <row r="126" spans="19:23" x14ac:dyDescent="0.25">
      <c r="S126" s="336" t="s">
        <v>718</v>
      </c>
      <c r="T126" s="337"/>
      <c r="U126" s="87">
        <v>-814</v>
      </c>
      <c r="V126" s="87" t="s">
        <v>602</v>
      </c>
      <c r="W126" s="164" t="s">
        <v>602</v>
      </c>
    </row>
    <row r="127" spans="19:23" x14ac:dyDescent="0.25">
      <c r="S127" s="336" t="s">
        <v>719</v>
      </c>
      <c r="T127" s="337"/>
      <c r="U127" s="87">
        <v>-1220.5</v>
      </c>
      <c r="V127" s="87">
        <v>-1116.5</v>
      </c>
      <c r="W127" s="164">
        <v>291.5</v>
      </c>
    </row>
    <row r="128" spans="19:23" x14ac:dyDescent="0.25">
      <c r="S128" s="348" t="s">
        <v>720</v>
      </c>
      <c r="T128" s="349"/>
      <c r="U128" s="349"/>
      <c r="V128" s="349"/>
      <c r="W128" s="350"/>
    </row>
    <row r="129" spans="19:23" x14ac:dyDescent="0.25">
      <c r="S129" s="336" t="s">
        <v>721</v>
      </c>
      <c r="T129" s="337"/>
      <c r="U129" s="87">
        <v>0</v>
      </c>
      <c r="V129" s="87">
        <v>0</v>
      </c>
      <c r="W129" s="164">
        <v>51.2</v>
      </c>
    </row>
    <row r="130" spans="19:23" x14ac:dyDescent="0.25">
      <c r="S130" s="336" t="s">
        <v>722</v>
      </c>
      <c r="T130" s="337"/>
      <c r="U130" s="87">
        <v>-577.6</v>
      </c>
      <c r="V130" s="87">
        <v>-515.79999999999995</v>
      </c>
      <c r="W130" s="164">
        <v>49</v>
      </c>
    </row>
    <row r="131" spans="19:23" x14ac:dyDescent="0.25">
      <c r="S131" s="348" t="s">
        <v>723</v>
      </c>
      <c r="T131" s="349"/>
      <c r="U131" s="349"/>
      <c r="V131" s="349"/>
      <c r="W131" s="350"/>
    </row>
    <row r="132" spans="19:23" x14ac:dyDescent="0.25">
      <c r="S132" s="336" t="s">
        <v>724</v>
      </c>
      <c r="T132" s="337"/>
      <c r="U132" s="87">
        <v>-763.2</v>
      </c>
      <c r="V132" s="87">
        <v>-726.3</v>
      </c>
      <c r="W132" s="164">
        <v>353.2</v>
      </c>
    </row>
    <row r="133" spans="19:23" x14ac:dyDescent="0.25">
      <c r="S133" s="336" t="s">
        <v>725</v>
      </c>
      <c r="T133" s="337"/>
      <c r="U133" s="87">
        <v>-804.2</v>
      </c>
      <c r="V133" s="87">
        <v>-737.2</v>
      </c>
      <c r="W133" s="164">
        <v>252.3</v>
      </c>
    </row>
    <row r="134" spans="19:23" ht="15.75" thickBot="1" x14ac:dyDescent="0.3">
      <c r="S134" s="340" t="s">
        <v>726</v>
      </c>
      <c r="T134" s="341"/>
      <c r="U134" s="165">
        <v>-944</v>
      </c>
      <c r="V134" s="165">
        <v>-888.8</v>
      </c>
      <c r="W134" s="166">
        <v>50.6</v>
      </c>
    </row>
  </sheetData>
  <mergeCells count="268">
    <mergeCell ref="E33:F33"/>
    <mergeCell ref="E32:F32"/>
    <mergeCell ref="A32:C33"/>
    <mergeCell ref="G24:H24"/>
    <mergeCell ref="E24:F24"/>
    <mergeCell ref="A22:D24"/>
    <mergeCell ref="F8:F9"/>
    <mergeCell ref="A7:B7"/>
    <mergeCell ref="A9:B9"/>
    <mergeCell ref="D10:F10"/>
    <mergeCell ref="G22:H22"/>
    <mergeCell ref="G23:H23"/>
    <mergeCell ref="A21:B21"/>
    <mergeCell ref="C21:D21"/>
    <mergeCell ref="E21:F21"/>
    <mergeCell ref="G21:H21"/>
    <mergeCell ref="A10:B10"/>
    <mergeCell ref="A19:B19"/>
    <mergeCell ref="C19:D19"/>
    <mergeCell ref="A20:B20"/>
    <mergeCell ref="C20:D20"/>
    <mergeCell ref="E20:F20"/>
    <mergeCell ref="G20:H20"/>
    <mergeCell ref="A13:B13"/>
    <mergeCell ref="A26:F26"/>
    <mergeCell ref="A28:B28"/>
    <mergeCell ref="D27:F27"/>
    <mergeCell ref="D31:F31"/>
    <mergeCell ref="E22:F22"/>
    <mergeCell ref="E23:F23"/>
    <mergeCell ref="A29:B29"/>
    <mergeCell ref="A30:B30"/>
    <mergeCell ref="A31:B31"/>
    <mergeCell ref="A27:B27"/>
    <mergeCell ref="D28:E28"/>
    <mergeCell ref="D29:E29"/>
    <mergeCell ref="D30:E30"/>
    <mergeCell ref="M16:P16"/>
    <mergeCell ref="M17:P17"/>
    <mergeCell ref="M18:P18"/>
    <mergeCell ref="M19:P19"/>
    <mergeCell ref="A18:B18"/>
    <mergeCell ref="C18:D18"/>
    <mergeCell ref="E18:F18"/>
    <mergeCell ref="G18:H18"/>
    <mergeCell ref="E19:F19"/>
    <mergeCell ref="G19:H19"/>
    <mergeCell ref="A16:B16"/>
    <mergeCell ref="C16:D16"/>
    <mergeCell ref="E16:F16"/>
    <mergeCell ref="G16:H16"/>
    <mergeCell ref="A17:D17"/>
    <mergeCell ref="E17:F17"/>
    <mergeCell ref="G17:H17"/>
    <mergeCell ref="C15:D15"/>
    <mergeCell ref="E15:F15"/>
    <mergeCell ref="G15:H15"/>
    <mergeCell ref="S5:W5"/>
    <mergeCell ref="S6:T6"/>
    <mergeCell ref="V6:W6"/>
    <mergeCell ref="S7:T7"/>
    <mergeCell ref="S8:W8"/>
    <mergeCell ref="S14:T14"/>
    <mergeCell ref="S15:T15"/>
    <mergeCell ref="K15:P15"/>
    <mergeCell ref="O6:Q6"/>
    <mergeCell ref="O5:Q5"/>
    <mergeCell ref="C13:D13"/>
    <mergeCell ref="E13:F13"/>
    <mergeCell ref="G13:H13"/>
    <mergeCell ref="M20:P20"/>
    <mergeCell ref="L12:N12"/>
    <mergeCell ref="L13:N13"/>
    <mergeCell ref="A1:E1"/>
    <mergeCell ref="A2:E2"/>
    <mergeCell ref="A3:E3"/>
    <mergeCell ref="D8:E9"/>
    <mergeCell ref="L11:N11"/>
    <mergeCell ref="K10:N10"/>
    <mergeCell ref="A5:F5"/>
    <mergeCell ref="A6:B6"/>
    <mergeCell ref="D6:F6"/>
    <mergeCell ref="A8:B8"/>
    <mergeCell ref="D7:F7"/>
    <mergeCell ref="K5:M5"/>
    <mergeCell ref="K6:M6"/>
    <mergeCell ref="K7:M7"/>
    <mergeCell ref="K8:M8"/>
    <mergeCell ref="A12:H12"/>
    <mergeCell ref="A14:B14"/>
    <mergeCell ref="C14:D14"/>
    <mergeCell ref="E14:F14"/>
    <mergeCell ref="G14:H14"/>
    <mergeCell ref="A15:B15"/>
    <mergeCell ref="S16:T16"/>
    <mergeCell ref="S17:T17"/>
    <mergeCell ref="S18:W18"/>
    <mergeCell ref="S9:T9"/>
    <mergeCell ref="S10:T10"/>
    <mergeCell ref="S11:T11"/>
    <mergeCell ref="S12:T12"/>
    <mergeCell ref="S13:W13"/>
    <mergeCell ref="S24:W24"/>
    <mergeCell ref="S25:T25"/>
    <mergeCell ref="S26:T26"/>
    <mergeCell ref="S27:T27"/>
    <mergeCell ref="S28:T28"/>
    <mergeCell ref="S19:T19"/>
    <mergeCell ref="S20:T20"/>
    <mergeCell ref="S21:T21"/>
    <mergeCell ref="S22:T22"/>
    <mergeCell ref="S23:T23"/>
    <mergeCell ref="S34:T34"/>
    <mergeCell ref="S35:T35"/>
    <mergeCell ref="S36:T36"/>
    <mergeCell ref="S37:T37"/>
    <mergeCell ref="S38:T38"/>
    <mergeCell ref="S29:T29"/>
    <mergeCell ref="S30:T30"/>
    <mergeCell ref="S31:T31"/>
    <mergeCell ref="S32:T32"/>
    <mergeCell ref="S33:T33"/>
    <mergeCell ref="S66:T66"/>
    <mergeCell ref="S67:T67"/>
    <mergeCell ref="S68:T68"/>
    <mergeCell ref="S59:T59"/>
    <mergeCell ref="S60:W60"/>
    <mergeCell ref="S61:T61"/>
    <mergeCell ref="S62:T62"/>
    <mergeCell ref="S63:W63"/>
    <mergeCell ref="S54:T54"/>
    <mergeCell ref="S55:T55"/>
    <mergeCell ref="S56:T56"/>
    <mergeCell ref="S57:T57"/>
    <mergeCell ref="S58:W58"/>
    <mergeCell ref="S74:W74"/>
    <mergeCell ref="S75:T75"/>
    <mergeCell ref="S76:T76"/>
    <mergeCell ref="S77:W77"/>
    <mergeCell ref="S78:T78"/>
    <mergeCell ref="S69:W69"/>
    <mergeCell ref="S70:T70"/>
    <mergeCell ref="S71:T71"/>
    <mergeCell ref="S72:T72"/>
    <mergeCell ref="S73:T73"/>
    <mergeCell ref="S84:T84"/>
    <mergeCell ref="S85:T85"/>
    <mergeCell ref="S86:T86"/>
    <mergeCell ref="S87:T87"/>
    <mergeCell ref="S88:T88"/>
    <mergeCell ref="S79:T79"/>
    <mergeCell ref="S80:T80"/>
    <mergeCell ref="S81:T81"/>
    <mergeCell ref="S82:T82"/>
    <mergeCell ref="S83:W83"/>
    <mergeCell ref="S94:T94"/>
    <mergeCell ref="S95:T95"/>
    <mergeCell ref="S96:T96"/>
    <mergeCell ref="S97:W97"/>
    <mergeCell ref="S98:T98"/>
    <mergeCell ref="S89:T89"/>
    <mergeCell ref="S90:T90"/>
    <mergeCell ref="S91:T91"/>
    <mergeCell ref="S92:T92"/>
    <mergeCell ref="S93:T93"/>
    <mergeCell ref="S111:T111"/>
    <mergeCell ref="S112:T112"/>
    <mergeCell ref="S113:T113"/>
    <mergeCell ref="S104:W104"/>
    <mergeCell ref="S105:T105"/>
    <mergeCell ref="S106:T106"/>
    <mergeCell ref="S107:T107"/>
    <mergeCell ref="S108:T108"/>
    <mergeCell ref="S99:T99"/>
    <mergeCell ref="S100:T100"/>
    <mergeCell ref="S101:T101"/>
    <mergeCell ref="S102:T102"/>
    <mergeCell ref="S103:T103"/>
    <mergeCell ref="S134:T134"/>
    <mergeCell ref="X5:Z7"/>
    <mergeCell ref="S129:T129"/>
    <mergeCell ref="S130:T130"/>
    <mergeCell ref="S131:W131"/>
    <mergeCell ref="S132:T132"/>
    <mergeCell ref="S133:T133"/>
    <mergeCell ref="S124:T124"/>
    <mergeCell ref="S125:T125"/>
    <mergeCell ref="S126:T126"/>
    <mergeCell ref="S127:T127"/>
    <mergeCell ref="S128:W128"/>
    <mergeCell ref="S119:T119"/>
    <mergeCell ref="S120:W120"/>
    <mergeCell ref="S121:T121"/>
    <mergeCell ref="S122:T122"/>
    <mergeCell ref="S123:T123"/>
    <mergeCell ref="S114:W114"/>
    <mergeCell ref="S115:T115"/>
    <mergeCell ref="S116:T116"/>
    <mergeCell ref="S117:W117"/>
    <mergeCell ref="S118:T118"/>
    <mergeCell ref="S109:T109"/>
    <mergeCell ref="S110:T110"/>
    <mergeCell ref="A35:G35"/>
    <mergeCell ref="S65:W65"/>
    <mergeCell ref="S64:T64"/>
    <mergeCell ref="S49:T49"/>
    <mergeCell ref="S50:T50"/>
    <mergeCell ref="S51:T51"/>
    <mergeCell ref="S52:T52"/>
    <mergeCell ref="S53:W53"/>
    <mergeCell ref="S44:T44"/>
    <mergeCell ref="S45:T45"/>
    <mergeCell ref="S46:T46"/>
    <mergeCell ref="S47:T47"/>
    <mergeCell ref="S48:T48"/>
    <mergeCell ref="S39:T39"/>
    <mergeCell ref="S40:T40"/>
    <mergeCell ref="S41:T41"/>
    <mergeCell ref="S42:T42"/>
    <mergeCell ref="S43:T43"/>
    <mergeCell ref="G43:G68"/>
    <mergeCell ref="A63:B63"/>
    <mergeCell ref="A36:B36"/>
    <mergeCell ref="E36:G36"/>
    <mergeCell ref="A38:B38"/>
    <mergeCell ref="E37:F37"/>
    <mergeCell ref="A53:B53"/>
    <mergeCell ref="E44:F44"/>
    <mergeCell ref="A64:B64"/>
    <mergeCell ref="A47:F47"/>
    <mergeCell ref="A37:B37"/>
    <mergeCell ref="C36:D36"/>
    <mergeCell ref="C37:D37"/>
    <mergeCell ref="A39:B39"/>
    <mergeCell ref="E38:F38"/>
    <mergeCell ref="A40:B40"/>
    <mergeCell ref="E39:F39"/>
    <mergeCell ref="A41:B41"/>
    <mergeCell ref="E40:G40"/>
    <mergeCell ref="F41:G41"/>
    <mergeCell ref="C38:D38"/>
    <mergeCell ref="C39:D39"/>
    <mergeCell ref="C40:D40"/>
    <mergeCell ref="C41:D41"/>
    <mergeCell ref="A45:F45"/>
    <mergeCell ref="A43:B44"/>
    <mergeCell ref="C44:D44"/>
    <mergeCell ref="F42:G42"/>
    <mergeCell ref="A42:D42"/>
    <mergeCell ref="A66:B66"/>
    <mergeCell ref="A68:B68"/>
    <mergeCell ref="A54:B54"/>
    <mergeCell ref="A55:B55"/>
    <mergeCell ref="A57:B57"/>
    <mergeCell ref="A59:B59"/>
    <mergeCell ref="A60:B60"/>
    <mergeCell ref="A61:B61"/>
    <mergeCell ref="A67:F67"/>
    <mergeCell ref="A65:F65"/>
    <mergeCell ref="A62:F62"/>
    <mergeCell ref="A58:F58"/>
    <mergeCell ref="A56:F56"/>
    <mergeCell ref="A46:B46"/>
    <mergeCell ref="A48:B48"/>
    <mergeCell ref="A49:B49"/>
    <mergeCell ref="A50:B50"/>
    <mergeCell ref="A51:B51"/>
    <mergeCell ref="A52:B52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AB0F-11D7-4CF6-B39F-DA1435B1A2E7}">
  <dimension ref="A1:T68"/>
  <sheetViews>
    <sheetView workbookViewId="0">
      <selection activeCell="I12" sqref="I12"/>
    </sheetView>
  </sheetViews>
  <sheetFormatPr defaultRowHeight="15" x14ac:dyDescent="0.25"/>
  <cols>
    <col min="4" max="4" width="10" bestFit="1" customWidth="1"/>
    <col min="9" max="9" width="9.140625" style="27"/>
    <col min="12" max="12" width="12" bestFit="1" customWidth="1"/>
    <col min="14" max="14" width="11" bestFit="1" customWidth="1"/>
    <col min="15" max="15" width="11.5703125" customWidth="1"/>
    <col min="17" max="17" width="10" bestFit="1" customWidth="1"/>
    <col min="20" max="20" width="9.85546875" customWidth="1"/>
  </cols>
  <sheetData>
    <row r="1" spans="1:20" x14ac:dyDescent="0.25">
      <c r="A1" s="463" t="s">
        <v>51</v>
      </c>
      <c r="B1" s="463"/>
      <c r="C1" s="463"/>
      <c r="D1" s="463"/>
      <c r="E1" s="463"/>
    </row>
    <row r="2" spans="1:20" x14ac:dyDescent="0.25">
      <c r="A2" s="524" t="s">
        <v>443</v>
      </c>
      <c r="B2" s="524"/>
      <c r="C2" s="524"/>
      <c r="D2" s="524"/>
      <c r="E2" s="524"/>
    </row>
    <row r="3" spans="1:20" x14ac:dyDescent="0.25">
      <c r="A3" s="442" t="s">
        <v>444</v>
      </c>
      <c r="B3" s="442"/>
      <c r="C3" s="442"/>
      <c r="D3" s="442"/>
      <c r="E3" s="442"/>
    </row>
    <row r="4" spans="1:20" ht="15.75" thickBot="1" x14ac:dyDescent="0.3"/>
    <row r="5" spans="1:20" ht="18" thickBot="1" x14ac:dyDescent="0.3">
      <c r="A5" s="342" t="s">
        <v>402</v>
      </c>
      <c r="B5" s="343"/>
      <c r="C5" s="343"/>
      <c r="D5" s="343"/>
      <c r="E5" s="343"/>
      <c r="F5" s="343"/>
      <c r="G5" s="344"/>
      <c r="K5" s="342" t="s">
        <v>388</v>
      </c>
      <c r="L5" s="343"/>
      <c r="M5" s="343"/>
      <c r="N5" s="343"/>
      <c r="O5" s="344"/>
      <c r="Q5" s="388" t="s">
        <v>417</v>
      </c>
      <c r="R5" s="389"/>
      <c r="S5" s="389"/>
      <c r="T5" s="390"/>
    </row>
    <row r="6" spans="1:20" ht="17.25" x14ac:dyDescent="0.25">
      <c r="A6" s="421" t="s">
        <v>35</v>
      </c>
      <c r="B6" s="422"/>
      <c r="C6" s="422"/>
      <c r="D6" s="85" t="s">
        <v>55</v>
      </c>
      <c r="E6" s="520" t="s">
        <v>36</v>
      </c>
      <c r="F6" s="520"/>
      <c r="G6" s="538"/>
      <c r="K6" s="363" t="s">
        <v>374</v>
      </c>
      <c r="L6" s="364"/>
      <c r="M6" s="364"/>
      <c r="N6" s="364"/>
      <c r="O6" s="365"/>
      <c r="Q6" s="363" t="s">
        <v>418</v>
      </c>
      <c r="R6" s="364"/>
      <c r="S6" s="364"/>
      <c r="T6" s="365"/>
    </row>
    <row r="7" spans="1:20" ht="18" x14ac:dyDescent="0.35">
      <c r="A7" s="366" t="s">
        <v>394</v>
      </c>
      <c r="B7" s="367"/>
      <c r="C7" s="367"/>
      <c r="D7" s="84"/>
      <c r="E7" s="684" t="s">
        <v>395</v>
      </c>
      <c r="F7" s="685"/>
      <c r="G7" s="686"/>
      <c r="I7" s="27">
        <f>0.517*(0.77^2)</f>
        <v>0.3065293</v>
      </c>
      <c r="K7" s="552" t="s">
        <v>373</v>
      </c>
      <c r="L7" s="553"/>
      <c r="M7" s="553"/>
      <c r="N7" s="553"/>
      <c r="O7" s="768"/>
      <c r="Q7" s="649" t="s">
        <v>423</v>
      </c>
      <c r="R7" s="550"/>
      <c r="S7" s="550"/>
      <c r="T7" s="559"/>
    </row>
    <row r="8" spans="1:20" ht="15.75" thickBot="1" x14ac:dyDescent="0.3">
      <c r="A8" s="366" t="s">
        <v>396</v>
      </c>
      <c r="B8" s="367"/>
      <c r="C8" s="367"/>
      <c r="D8" s="84">
        <v>0.77</v>
      </c>
      <c r="E8" s="428"/>
      <c r="F8" s="687"/>
      <c r="G8" s="589"/>
      <c r="H8" s="88"/>
      <c r="I8" s="203"/>
      <c r="K8" s="357" t="s">
        <v>375</v>
      </c>
      <c r="L8" s="358"/>
      <c r="M8" s="358"/>
      <c r="N8" s="358"/>
      <c r="O8" s="359"/>
      <c r="Q8" s="649" t="s">
        <v>424</v>
      </c>
      <c r="R8" s="550"/>
      <c r="S8" s="550"/>
      <c r="T8" s="559"/>
    </row>
    <row r="9" spans="1:20" ht="15.75" thickBot="1" x14ac:dyDescent="0.3">
      <c r="A9" s="366" t="s">
        <v>397</v>
      </c>
      <c r="B9" s="367"/>
      <c r="C9" s="367"/>
      <c r="D9" s="84">
        <v>2</v>
      </c>
      <c r="E9" s="531" t="str">
        <f>IF(NOT(ISNUMBER(D12)),D7/((D8^D9)*(D10^D11)),"Check Inputs")</f>
        <v>Check Inputs</v>
      </c>
      <c r="F9" s="688"/>
      <c r="G9" s="689"/>
      <c r="Q9" s="366" t="s">
        <v>419</v>
      </c>
      <c r="R9" s="367"/>
      <c r="S9" s="367"/>
      <c r="T9" s="368"/>
    </row>
    <row r="10" spans="1:20" ht="15.75" thickBot="1" x14ac:dyDescent="0.3">
      <c r="A10" s="366" t="s">
        <v>398</v>
      </c>
      <c r="B10" s="367"/>
      <c r="C10" s="367"/>
      <c r="D10" s="84">
        <v>0.6</v>
      </c>
      <c r="E10" s="690"/>
      <c r="F10" s="691"/>
      <c r="G10" s="692"/>
      <c r="K10" s="388" t="s">
        <v>410</v>
      </c>
      <c r="L10" s="389"/>
      <c r="M10" s="389"/>
      <c r="N10" s="389"/>
      <c r="O10" s="390"/>
      <c r="Q10" s="366" t="s">
        <v>420</v>
      </c>
      <c r="R10" s="367"/>
      <c r="S10" s="367"/>
      <c r="T10" s="368"/>
    </row>
    <row r="11" spans="1:20" x14ac:dyDescent="0.25">
      <c r="A11" s="366" t="s">
        <v>399</v>
      </c>
      <c r="B11" s="367"/>
      <c r="C11" s="367"/>
      <c r="D11" s="84">
        <v>0</v>
      </c>
      <c r="E11" s="533"/>
      <c r="F11" s="775"/>
      <c r="G11" s="700"/>
      <c r="K11" s="769" t="s">
        <v>387</v>
      </c>
      <c r="L11" s="770"/>
      <c r="M11" s="770"/>
      <c r="N11" s="770"/>
      <c r="O11" s="771"/>
      <c r="Q11" s="366" t="s">
        <v>421</v>
      </c>
      <c r="R11" s="367"/>
      <c r="S11" s="367"/>
      <c r="T11" s="368"/>
    </row>
    <row r="12" spans="1:20" ht="18" thickBot="1" x14ac:dyDescent="0.3">
      <c r="A12" s="357" t="s">
        <v>403</v>
      </c>
      <c r="B12" s="358"/>
      <c r="C12" s="358"/>
      <c r="D12" s="86">
        <v>0.51700000000000002</v>
      </c>
      <c r="E12" s="776" t="str">
        <f>TEXT(E9,"0.00E+00")</f>
        <v>Check Inputs</v>
      </c>
      <c r="F12" s="777"/>
      <c r="G12" s="778"/>
      <c r="H12" s="95"/>
      <c r="K12" s="772" t="s">
        <v>451</v>
      </c>
      <c r="L12" s="773"/>
      <c r="M12" s="773"/>
      <c r="N12" s="773"/>
      <c r="O12" s="774"/>
      <c r="Q12" s="357" t="s">
        <v>422</v>
      </c>
      <c r="R12" s="358"/>
      <c r="S12" s="358"/>
      <c r="T12" s="359"/>
    </row>
    <row r="13" spans="1:20" ht="15.75" thickBot="1" x14ac:dyDescent="0.3">
      <c r="K13" s="366" t="s">
        <v>386</v>
      </c>
      <c r="L13" s="367"/>
      <c r="M13" s="367"/>
      <c r="N13" s="367"/>
      <c r="O13" s="368"/>
    </row>
    <row r="14" spans="1:20" ht="15.75" thickBot="1" x14ac:dyDescent="0.3">
      <c r="A14" s="342" t="s">
        <v>414</v>
      </c>
      <c r="B14" s="343"/>
      <c r="C14" s="343"/>
      <c r="D14" s="343"/>
      <c r="E14" s="343"/>
      <c r="F14" s="343"/>
      <c r="G14" s="344"/>
      <c r="K14" s="366" t="s">
        <v>400</v>
      </c>
      <c r="L14" s="367"/>
      <c r="M14" s="367"/>
      <c r="N14" s="367"/>
      <c r="O14" s="368"/>
    </row>
    <row r="15" spans="1:20" ht="18" x14ac:dyDescent="0.35">
      <c r="A15" s="421" t="s">
        <v>35</v>
      </c>
      <c r="B15" s="422"/>
      <c r="C15" s="422"/>
      <c r="D15" s="214" t="s">
        <v>55</v>
      </c>
      <c r="E15" s="422" t="s">
        <v>449</v>
      </c>
      <c r="F15" s="422"/>
      <c r="G15" s="540"/>
      <c r="K15" s="366" t="s">
        <v>389</v>
      </c>
      <c r="L15" s="367"/>
      <c r="M15" s="367"/>
      <c r="N15" s="367"/>
      <c r="O15" s="368"/>
    </row>
    <row r="16" spans="1:20" ht="18" x14ac:dyDescent="0.35">
      <c r="A16" s="366" t="s">
        <v>416</v>
      </c>
      <c r="B16" s="367"/>
      <c r="C16" s="367"/>
      <c r="D16" s="155">
        <v>1</v>
      </c>
      <c r="E16" s="367" t="s">
        <v>867</v>
      </c>
      <c r="F16" s="367"/>
      <c r="G16" s="368"/>
      <c r="K16" s="366" t="s">
        <v>385</v>
      </c>
      <c r="L16" s="367"/>
      <c r="M16" s="367"/>
      <c r="N16" s="367"/>
      <c r="O16" s="368"/>
    </row>
    <row r="17" spans="1:16" x14ac:dyDescent="0.25">
      <c r="A17" s="366" t="s">
        <v>403</v>
      </c>
      <c r="B17" s="367"/>
      <c r="C17" s="367"/>
      <c r="D17" s="155"/>
      <c r="E17" s="509">
        <f>(D20/1000)/(D19/1000)</f>
        <v>0.77</v>
      </c>
      <c r="F17" s="509"/>
      <c r="G17" s="615"/>
      <c r="K17" s="17" t="s">
        <v>390</v>
      </c>
      <c r="L17" s="782" t="s">
        <v>392</v>
      </c>
      <c r="M17" s="782"/>
      <c r="N17" s="782"/>
      <c r="O17" s="783"/>
    </row>
    <row r="18" spans="1:16" ht="18" x14ac:dyDescent="0.35">
      <c r="A18" s="787" t="s">
        <v>450</v>
      </c>
      <c r="B18" s="765"/>
      <c r="C18" s="765"/>
      <c r="D18" s="155"/>
      <c r="E18" s="367" t="s">
        <v>869</v>
      </c>
      <c r="F18" s="367"/>
      <c r="G18" s="368"/>
      <c r="K18" s="17" t="s">
        <v>391</v>
      </c>
      <c r="L18" s="782" t="s">
        <v>447</v>
      </c>
      <c r="M18" s="782"/>
      <c r="N18" s="782"/>
      <c r="O18" s="783"/>
    </row>
    <row r="19" spans="1:16" x14ac:dyDescent="0.25">
      <c r="A19" s="791" t="s">
        <v>1371</v>
      </c>
      <c r="B19" s="792"/>
      <c r="C19" s="792"/>
      <c r="D19" s="158">
        <v>1</v>
      </c>
      <c r="E19" s="524">
        <f>IFERROR(D21/D19,"Unknown")</f>
        <v>0</v>
      </c>
      <c r="F19" s="524"/>
      <c r="G19" s="602"/>
      <c r="K19" s="17" t="s">
        <v>393</v>
      </c>
      <c r="L19" s="782" t="s">
        <v>448</v>
      </c>
      <c r="M19" s="782"/>
      <c r="N19" s="782"/>
      <c r="O19" s="783"/>
    </row>
    <row r="20" spans="1:16" x14ac:dyDescent="0.25">
      <c r="A20" s="580" t="s">
        <v>866</v>
      </c>
      <c r="B20" s="536"/>
      <c r="C20" s="536"/>
      <c r="D20" s="158">
        <v>0.77</v>
      </c>
      <c r="E20" s="381" t="str">
        <f>IF(NOT(ISNUMBER(D18)),"t","Concentration at [A]t")</f>
        <v>t</v>
      </c>
      <c r="F20" s="381"/>
      <c r="G20" s="490"/>
      <c r="K20" s="784" t="s">
        <v>404</v>
      </c>
      <c r="L20" s="785"/>
      <c r="M20" s="785"/>
      <c r="N20" s="785"/>
      <c r="O20" s="786"/>
    </row>
    <row r="21" spans="1:16" ht="18" x14ac:dyDescent="0.35">
      <c r="A21" s="580" t="s">
        <v>868</v>
      </c>
      <c r="B21" s="536"/>
      <c r="C21" s="536"/>
      <c r="D21" s="158"/>
      <c r="E21" s="504" t="str">
        <f>IFERROR(IF(AND(D16=0,NOT(ISNUMBER(D18))),(E19-E17)/-D17,
IF(D16=0,E17-D17*D18,
IF(AND(D16=1,NOT(ISNUMBER(D18))),(LN(E19/E17))/(-D17),
IF(D16=1,E17*EXP(-D17*D18),
IF(AND(D16=2,NOT(ISNUMBER(D18))),((1/E19)-(1/E17))/D17,
IF(D16=2,1/((1/E17)+(D17*D18)),
"Check Inputs")))))),"Check Inputs")</f>
        <v>Check Inputs</v>
      </c>
      <c r="F21" s="504"/>
      <c r="G21" s="157" t="str">
        <f>IF(E20="Concentration at [A]t","M",IF(E20="t","s"))</f>
        <v>s</v>
      </c>
      <c r="K21" s="788" t="s">
        <v>452</v>
      </c>
      <c r="L21" s="789"/>
      <c r="M21" s="789"/>
      <c r="N21" s="789"/>
      <c r="O21" s="790"/>
    </row>
    <row r="22" spans="1:16" ht="18.75" thickBot="1" x14ac:dyDescent="0.4">
      <c r="A22" s="630"/>
      <c r="B22" s="631"/>
      <c r="C22" s="631"/>
      <c r="D22" s="631"/>
      <c r="E22" s="385" t="s">
        <v>495</v>
      </c>
      <c r="F22" s="385"/>
      <c r="G22" s="215" t="str">
        <f>IF(G21="M",E21*(D19/1000),"N/A")</f>
        <v>N/A</v>
      </c>
      <c r="K22" s="649" t="s">
        <v>411</v>
      </c>
      <c r="L22" s="550"/>
      <c r="M22" s="550"/>
      <c r="N22" s="550"/>
      <c r="O22" s="559"/>
    </row>
    <row r="23" spans="1:16" ht="18.75" thickBot="1" x14ac:dyDescent="0.4">
      <c r="K23" s="649" t="s">
        <v>412</v>
      </c>
      <c r="L23" s="550"/>
      <c r="M23" s="550"/>
      <c r="N23" s="550"/>
      <c r="O23" s="559"/>
    </row>
    <row r="24" spans="1:16" ht="15.75" thickBot="1" x14ac:dyDescent="0.3">
      <c r="A24" s="342" t="s">
        <v>433</v>
      </c>
      <c r="B24" s="343"/>
      <c r="C24" s="343"/>
      <c r="D24" s="343"/>
      <c r="E24" s="343"/>
      <c r="F24" s="343"/>
      <c r="G24" s="343"/>
      <c r="H24" s="344"/>
      <c r="K24" s="539" t="s">
        <v>409</v>
      </c>
      <c r="L24" s="523"/>
      <c r="M24" s="523"/>
      <c r="N24" s="523"/>
      <c r="O24" s="541"/>
    </row>
    <row r="25" spans="1:16" ht="18.75" x14ac:dyDescent="0.35">
      <c r="A25" s="421" t="s">
        <v>35</v>
      </c>
      <c r="B25" s="422"/>
      <c r="C25" s="422" t="s">
        <v>55</v>
      </c>
      <c r="D25" s="422"/>
      <c r="E25" s="422"/>
      <c r="F25" s="422" t="s">
        <v>36</v>
      </c>
      <c r="G25" s="422"/>
      <c r="H25" s="540"/>
      <c r="K25" s="772" t="s">
        <v>453</v>
      </c>
      <c r="L25" s="773"/>
      <c r="M25" s="773"/>
      <c r="N25" s="773"/>
      <c r="O25" s="774"/>
    </row>
    <row r="26" spans="1:16" x14ac:dyDescent="0.25">
      <c r="A26" s="366" t="s">
        <v>434</v>
      </c>
      <c r="B26" s="367"/>
      <c r="C26" s="367"/>
      <c r="D26" s="367" t="s">
        <v>439</v>
      </c>
      <c r="E26" s="367"/>
      <c r="F26" s="367" t="s">
        <v>440</v>
      </c>
      <c r="G26" s="367"/>
      <c r="H26" s="798"/>
      <c r="K26" s="539" t="s">
        <v>408</v>
      </c>
      <c r="L26" s="523"/>
      <c r="M26" s="523"/>
      <c r="N26" s="523"/>
      <c r="O26" s="541"/>
    </row>
    <row r="27" spans="1:16" ht="18" x14ac:dyDescent="0.35">
      <c r="A27" s="366" t="s">
        <v>435</v>
      </c>
      <c r="B27" s="367"/>
      <c r="C27" s="155">
        <v>1E-3</v>
      </c>
      <c r="D27" s="463">
        <v>4.9199999999999999E-3</v>
      </c>
      <c r="E27" s="463"/>
      <c r="F27" s="524">
        <f>IF(C32=C31,C28/C27,IF(C33=C31,C29/C27,IF(C33=C32,C29/C28,"need more info")))</f>
        <v>2</v>
      </c>
      <c r="G27" s="524"/>
      <c r="H27" s="740"/>
      <c r="K27" s="772" t="s">
        <v>454</v>
      </c>
      <c r="L27" s="773"/>
      <c r="M27" s="773"/>
      <c r="N27" s="773"/>
      <c r="O27" s="774"/>
    </row>
    <row r="28" spans="1:16" x14ac:dyDescent="0.25">
      <c r="A28" s="366" t="s">
        <v>436</v>
      </c>
      <c r="B28" s="367"/>
      <c r="C28" s="155">
        <v>1E-3</v>
      </c>
      <c r="D28" s="463">
        <v>1.9470000000000001E-2</v>
      </c>
      <c r="E28" s="463"/>
      <c r="F28" s="367" t="s">
        <v>441</v>
      </c>
      <c r="G28" s="367"/>
      <c r="H28" s="156" t="s">
        <v>416</v>
      </c>
      <c r="K28" s="539" t="s">
        <v>413</v>
      </c>
      <c r="L28" s="523"/>
      <c r="M28" s="523"/>
      <c r="N28" s="523"/>
      <c r="O28" s="541"/>
    </row>
    <row r="29" spans="1:16" ht="18.75" thickBot="1" x14ac:dyDescent="0.4">
      <c r="A29" s="366" t="s">
        <v>437</v>
      </c>
      <c r="B29" s="367"/>
      <c r="C29" s="155">
        <v>2E-3</v>
      </c>
      <c r="D29" s="463">
        <v>5.0099999999999997E-3</v>
      </c>
      <c r="E29" s="463"/>
      <c r="F29" s="524">
        <f>IF(C32=C31,D28/D27,IF(C33=C31,D29/D27,IF(C33=C32,D29/D28,"need more info")))</f>
        <v>1.0182926829268293</v>
      </c>
      <c r="G29" s="524"/>
      <c r="H29" s="93">
        <f>IF(ABS(F29-F27)&lt;=0.05,1,IF(ABS(F29-(F27^2))&lt;=0.05,2,0))</f>
        <v>0</v>
      </c>
      <c r="K29" s="779" t="s">
        <v>455</v>
      </c>
      <c r="L29" s="780"/>
      <c r="M29" s="780"/>
      <c r="N29" s="780"/>
      <c r="O29" s="781"/>
    </row>
    <row r="30" spans="1:16" ht="15.75" thickBot="1" x14ac:dyDescent="0.3">
      <c r="A30" s="366" t="s">
        <v>438</v>
      </c>
      <c r="B30" s="367"/>
      <c r="C30" s="367"/>
      <c r="D30" s="367" t="s">
        <v>439</v>
      </c>
      <c r="E30" s="367"/>
      <c r="F30" s="367" t="s">
        <v>440</v>
      </c>
      <c r="G30" s="367"/>
      <c r="H30" s="798"/>
    </row>
    <row r="31" spans="1:16" ht="15.75" thickBot="1" x14ac:dyDescent="0.3">
      <c r="A31" s="366" t="s">
        <v>435</v>
      </c>
      <c r="B31" s="367"/>
      <c r="C31" s="155">
        <v>2E-3</v>
      </c>
      <c r="D31" s="524">
        <f>D27</f>
        <v>4.9199999999999999E-3</v>
      </c>
      <c r="E31" s="524"/>
      <c r="F31" s="524">
        <f>IF(C28=C27,C32/C31,IF(C29=C27,C33/C31,IF(C29=C28,C33/C32,"need more info")))</f>
        <v>2</v>
      </c>
      <c r="G31" s="524"/>
      <c r="H31" s="740"/>
      <c r="K31" s="342" t="s">
        <v>430</v>
      </c>
      <c r="L31" s="343"/>
      <c r="M31" s="343"/>
      <c r="N31" s="343"/>
      <c r="O31" s="343"/>
      <c r="P31" s="344"/>
    </row>
    <row r="32" spans="1:16" x14ac:dyDescent="0.25">
      <c r="A32" s="366" t="s">
        <v>436</v>
      </c>
      <c r="B32" s="367"/>
      <c r="C32" s="155">
        <v>4.0000000000000001E-3</v>
      </c>
      <c r="D32" s="524">
        <f t="shared" ref="D32" si="0">D28</f>
        <v>1.9470000000000001E-2</v>
      </c>
      <c r="E32" s="524"/>
      <c r="F32" s="367" t="s">
        <v>441</v>
      </c>
      <c r="G32" s="367"/>
      <c r="H32" s="156" t="s">
        <v>416</v>
      </c>
      <c r="J32" s="95"/>
      <c r="K32" s="90" t="s">
        <v>425</v>
      </c>
      <c r="L32" s="80" t="s">
        <v>426</v>
      </c>
      <c r="M32" s="80" t="s">
        <v>428</v>
      </c>
      <c r="N32" s="80" t="s">
        <v>427</v>
      </c>
      <c r="O32" s="763" t="s">
        <v>429</v>
      </c>
      <c r="P32" s="764"/>
    </row>
    <row r="33" spans="1:16" x14ac:dyDescent="0.25">
      <c r="A33" s="552" t="s">
        <v>437</v>
      </c>
      <c r="B33" s="553"/>
      <c r="C33" s="94">
        <v>2E-3</v>
      </c>
      <c r="D33" s="799">
        <f>D29</f>
        <v>5.0099999999999997E-3</v>
      </c>
      <c r="E33" s="800"/>
      <c r="F33" s="524">
        <f>IF(C28=C27,D32/D31,IF(C29=C27,D33/D31,IF(C29=C28,D33/D32,"need more info")))</f>
        <v>3.9573170731707319</v>
      </c>
      <c r="G33" s="524"/>
      <c r="H33" s="93">
        <f>IF(ABS(F33-F31)&lt;=0.05,1,IF(ABS(F33-(F31^2))&lt;=0.05,2,0))</f>
        <v>2</v>
      </c>
      <c r="J33" s="95"/>
      <c r="K33" s="91">
        <f>1*10^7</f>
        <v>10000000</v>
      </c>
      <c r="L33" s="1">
        <v>220</v>
      </c>
      <c r="M33" s="3">
        <f>LN(K33)</f>
        <v>16.11809565095832</v>
      </c>
      <c r="N33" s="3">
        <f>1/L33</f>
        <v>4.5454545454545452E-3</v>
      </c>
      <c r="O33" s="726"/>
      <c r="P33" s="727"/>
    </row>
    <row r="34" spans="1:16" ht="15.75" thickBot="1" x14ac:dyDescent="0.3">
      <c r="A34" s="204"/>
      <c r="B34" s="205"/>
      <c r="C34" s="205"/>
      <c r="D34" s="154" t="s">
        <v>442</v>
      </c>
      <c r="E34" s="766">
        <f>D27/((C27^H29)*(C31^H33))</f>
        <v>1230</v>
      </c>
      <c r="F34" s="767"/>
      <c r="G34" s="206">
        <f>E34</f>
        <v>1230</v>
      </c>
      <c r="H34" s="96" t="str">
        <f>IF(SUM(H29,H33)=1,"sˉ¹",IF(SUM(H29,H33)=2,"Mˉ¹ ∙ sˉ¹",IF(SUM(H29,H33)=3,"Mˉ² ∙ sˉ¹",IF(SUM(H29,H33)=4,"Mˉ³ ∙ sˉ¹",))))</f>
        <v>Mˉ¹ ∙ sˉ¹</v>
      </c>
      <c r="I34" s="28"/>
      <c r="J34" s="95"/>
      <c r="K34" s="91">
        <f>5.1*10^7</f>
        <v>51000000</v>
      </c>
      <c r="L34" s="1">
        <v>340</v>
      </c>
      <c r="M34" s="3">
        <f>LN(K34)</f>
        <v>17.7473361906886</v>
      </c>
      <c r="N34" s="3">
        <f>1/L34</f>
        <v>2.9411764705882353E-3</v>
      </c>
      <c r="O34" s="726"/>
      <c r="P34" s="727"/>
    </row>
    <row r="35" spans="1:16" ht="15.75" thickBot="1" x14ac:dyDescent="0.3">
      <c r="J35" s="95"/>
      <c r="K35" s="92">
        <f>1.1*10^8</f>
        <v>110000000.00000001</v>
      </c>
      <c r="L35" s="9">
        <v>450</v>
      </c>
      <c r="M35" s="34">
        <f>LN(K35)</f>
        <v>18.515990923756689</v>
      </c>
      <c r="N35" s="34">
        <f>1/L35</f>
        <v>2.2222222222222222E-3</v>
      </c>
      <c r="O35" s="729"/>
      <c r="P35" s="730"/>
    </row>
    <row r="36" spans="1:16" ht="15.75" thickBot="1" x14ac:dyDescent="0.3">
      <c r="A36" s="342" t="s">
        <v>456</v>
      </c>
      <c r="B36" s="343"/>
      <c r="C36" s="343"/>
      <c r="D36" s="343"/>
      <c r="E36" s="343"/>
      <c r="F36" s="343"/>
      <c r="G36" s="343"/>
      <c r="H36" s="344"/>
      <c r="J36" s="95"/>
      <c r="K36" s="539" t="s">
        <v>36</v>
      </c>
      <c r="L36" s="523"/>
      <c r="M36" s="523"/>
      <c r="N36" s="523"/>
      <c r="O36" s="750"/>
      <c r="P36" s="741"/>
    </row>
    <row r="37" spans="1:16" x14ac:dyDescent="0.25">
      <c r="A37" s="421" t="s">
        <v>415</v>
      </c>
      <c r="B37" s="422"/>
      <c r="C37" s="422"/>
      <c r="D37" s="14" t="s">
        <v>55</v>
      </c>
      <c r="E37" s="422" t="s">
        <v>36</v>
      </c>
      <c r="F37" s="422"/>
      <c r="G37" s="422"/>
      <c r="H37" s="540"/>
      <c r="K37" s="366" t="s">
        <v>432</v>
      </c>
      <c r="L37" s="367"/>
      <c r="M37" s="760">
        <f>(M35-M33)/(N35-N33)</f>
        <v>-1032.137530465385</v>
      </c>
      <c r="N37" s="524"/>
      <c r="O37" s="750"/>
      <c r="P37" s="741"/>
    </row>
    <row r="38" spans="1:16" ht="15.75" thickBot="1" x14ac:dyDescent="0.3">
      <c r="A38" s="336" t="s">
        <v>469</v>
      </c>
      <c r="B38" s="337"/>
      <c r="C38" s="337"/>
      <c r="D38" s="158">
        <v>1</v>
      </c>
      <c r="E38" s="765" t="s">
        <v>461</v>
      </c>
      <c r="F38" s="765"/>
      <c r="G38" s="509">
        <f>(D42*D43)/(D44*D45)</f>
        <v>14.144155063870084</v>
      </c>
      <c r="H38" s="490" t="s">
        <v>460</v>
      </c>
      <c r="K38" s="761" t="s">
        <v>431</v>
      </c>
      <c r="L38" s="762"/>
      <c r="M38" s="465">
        <f>M37*-Universal_Gas_R_for_Pa_and_m3</f>
        <v>8581.7074970544436</v>
      </c>
      <c r="N38" s="465"/>
      <c r="O38" s="631"/>
      <c r="P38" s="742"/>
    </row>
    <row r="39" spans="1:16" x14ac:dyDescent="0.25">
      <c r="A39" s="380" t="s">
        <v>468</v>
      </c>
      <c r="B39" s="381"/>
      <c r="C39" s="381"/>
      <c r="D39" s="158">
        <v>3</v>
      </c>
      <c r="E39" s="765"/>
      <c r="F39" s="765"/>
      <c r="G39" s="509"/>
      <c r="H39" s="490"/>
    </row>
    <row r="40" spans="1:16" x14ac:dyDescent="0.25">
      <c r="A40" s="380" t="s">
        <v>463</v>
      </c>
      <c r="B40" s="381"/>
      <c r="C40" s="153" t="s">
        <v>464</v>
      </c>
      <c r="D40" s="217">
        <f>H*2</f>
        <v>2.0158800000000001</v>
      </c>
      <c r="E40" s="765" t="s">
        <v>462</v>
      </c>
      <c r="F40" s="765"/>
      <c r="G40" s="509">
        <f>(G38*D39)/D38</f>
        <v>42.432465191610248</v>
      </c>
      <c r="H40" s="490" t="s">
        <v>460</v>
      </c>
    </row>
    <row r="41" spans="1:16" x14ac:dyDescent="0.25">
      <c r="A41" s="348" t="s">
        <v>465</v>
      </c>
      <c r="B41" s="349"/>
      <c r="C41" s="349"/>
      <c r="D41" s="349"/>
      <c r="E41" s="765"/>
      <c r="F41" s="765"/>
      <c r="G41" s="509"/>
      <c r="H41" s="490"/>
    </row>
    <row r="42" spans="1:16" x14ac:dyDescent="0.25">
      <c r="A42" s="380" t="s">
        <v>457</v>
      </c>
      <c r="B42" s="381"/>
      <c r="C42" s="381"/>
      <c r="D42" s="158">
        <v>0.7</v>
      </c>
      <c r="E42" s="765" t="s">
        <v>462</v>
      </c>
      <c r="F42" s="765"/>
      <c r="G42" s="509">
        <f>G40*D40</f>
        <v>85.538757930463277</v>
      </c>
      <c r="H42" s="490" t="s">
        <v>466</v>
      </c>
    </row>
    <row r="43" spans="1:16" x14ac:dyDescent="0.25">
      <c r="A43" s="380" t="s">
        <v>1411</v>
      </c>
      <c r="B43" s="381"/>
      <c r="C43" s="381"/>
      <c r="D43" s="158">
        <v>758</v>
      </c>
      <c r="E43" s="765"/>
      <c r="F43" s="765"/>
      <c r="G43" s="509"/>
      <c r="H43" s="490"/>
    </row>
    <row r="44" spans="1:16" x14ac:dyDescent="0.25">
      <c r="A44" s="801" t="s">
        <v>459</v>
      </c>
      <c r="B44" s="427"/>
      <c r="C44" s="427"/>
      <c r="D44" s="158">
        <f>184+Kelvin</f>
        <v>457.15</v>
      </c>
      <c r="E44" s="427" t="s">
        <v>462</v>
      </c>
      <c r="F44" s="427"/>
      <c r="G44" s="213">
        <f>CONVERT(G42,"g","kg")</f>
        <v>8.5538757930463283E-2</v>
      </c>
      <c r="H44" s="490" t="s">
        <v>467</v>
      </c>
    </row>
    <row r="45" spans="1:16" ht="15.75" thickBot="1" x14ac:dyDescent="0.3">
      <c r="A45" s="796" t="s">
        <v>458</v>
      </c>
      <c r="B45" s="797"/>
      <c r="C45" s="797"/>
      <c r="D45" s="154">
        <f>Universal_Gas_R_for_atm_and_L</f>
        <v>8.2059999999999994E-2</v>
      </c>
      <c r="E45" s="797"/>
      <c r="F45" s="797"/>
      <c r="G45" s="216">
        <f>G44</f>
        <v>8.5538757930463283E-2</v>
      </c>
      <c r="H45" s="494"/>
    </row>
    <row r="46" spans="1:16" ht="15.75" thickBot="1" x14ac:dyDescent="0.3"/>
    <row r="47" spans="1:16" ht="15.75" thickBot="1" x14ac:dyDescent="0.3">
      <c r="B47" s="793" t="s">
        <v>861</v>
      </c>
      <c r="C47" s="794"/>
      <c r="D47" s="794"/>
      <c r="E47" s="794"/>
      <c r="F47" s="794"/>
      <c r="G47" s="795"/>
    </row>
    <row r="48" spans="1:16" x14ac:dyDescent="0.25">
      <c r="B48" s="621" t="s">
        <v>870</v>
      </c>
      <c r="C48" s="622"/>
      <c r="D48" s="622"/>
      <c r="E48" s="622"/>
      <c r="F48" s="622"/>
      <c r="G48" s="623"/>
    </row>
    <row r="49" spans="2:19" x14ac:dyDescent="0.25">
      <c r="B49" s="366"/>
      <c r="C49" s="367"/>
      <c r="D49" s="367"/>
      <c r="E49" s="367"/>
      <c r="F49" s="367"/>
      <c r="G49" s="368"/>
    </row>
    <row r="50" spans="2:19" x14ac:dyDescent="0.25">
      <c r="B50" s="366"/>
      <c r="C50" s="367"/>
      <c r="D50" s="367"/>
      <c r="E50" s="367"/>
      <c r="F50" s="367"/>
      <c r="G50" s="368"/>
    </row>
    <row r="51" spans="2:19" x14ac:dyDescent="0.25">
      <c r="B51" s="386" t="s">
        <v>863</v>
      </c>
      <c r="C51" s="542"/>
      <c r="D51" s="542"/>
      <c r="E51" s="542"/>
      <c r="F51" s="542"/>
      <c r="G51" s="617"/>
    </row>
    <row r="52" spans="2:19" x14ac:dyDescent="0.25">
      <c r="B52" s="366"/>
      <c r="C52" s="367"/>
      <c r="D52" s="367"/>
      <c r="E52" s="367"/>
      <c r="F52" s="367"/>
      <c r="G52" s="368"/>
    </row>
    <row r="53" spans="2:19" x14ac:dyDescent="0.25">
      <c r="B53" s="552"/>
      <c r="C53" s="553"/>
      <c r="D53" s="553"/>
      <c r="E53" s="553"/>
      <c r="F53" s="553"/>
      <c r="G53" s="768"/>
    </row>
    <row r="54" spans="2:19" x14ac:dyDescent="0.25">
      <c r="B54" s="386" t="s">
        <v>871</v>
      </c>
      <c r="C54" s="542"/>
      <c r="D54" s="542"/>
      <c r="E54" s="542"/>
      <c r="F54" s="542"/>
      <c r="G54" s="617"/>
      <c r="S54" s="27"/>
    </row>
    <row r="55" spans="2:19" ht="15.75" thickBot="1" x14ac:dyDescent="0.3">
      <c r="B55" s="366"/>
      <c r="C55" s="367"/>
      <c r="D55" s="367"/>
      <c r="E55" s="367"/>
      <c r="F55" s="367"/>
      <c r="G55" s="368"/>
    </row>
    <row r="56" spans="2:19" ht="15.75" thickBot="1" x14ac:dyDescent="0.3">
      <c r="B56" s="552"/>
      <c r="C56" s="553"/>
      <c r="D56" s="553"/>
      <c r="E56" s="553"/>
      <c r="F56" s="553"/>
      <c r="G56" s="768"/>
      <c r="M56" s="491" t="s">
        <v>1373</v>
      </c>
      <c r="N56" s="492"/>
      <c r="O56" s="493"/>
    </row>
    <row r="57" spans="2:19" x14ac:dyDescent="0.25">
      <c r="B57" s="386" t="s">
        <v>872</v>
      </c>
      <c r="C57" s="542"/>
      <c r="D57" s="542"/>
      <c r="E57" s="542"/>
      <c r="F57" s="542"/>
      <c r="G57" s="617"/>
      <c r="M57" s="363" t="s">
        <v>1382</v>
      </c>
      <c r="N57" s="364"/>
      <c r="O57" s="365"/>
    </row>
    <row r="58" spans="2:19" x14ac:dyDescent="0.25">
      <c r="B58" s="366"/>
      <c r="C58" s="367"/>
      <c r="D58" s="367"/>
      <c r="E58" s="367"/>
      <c r="F58" s="367"/>
      <c r="G58" s="368"/>
      <c r="M58" s="430" t="s">
        <v>1374</v>
      </c>
      <c r="N58" s="432"/>
      <c r="O58" s="19">
        <v>1.6199999999999999E-3</v>
      </c>
    </row>
    <row r="59" spans="2:19" ht="15.75" thickBot="1" x14ac:dyDescent="0.3">
      <c r="B59" s="357"/>
      <c r="C59" s="358"/>
      <c r="D59" s="358"/>
      <c r="E59" s="358"/>
      <c r="F59" s="358"/>
      <c r="G59" s="359"/>
      <c r="M59" s="430" t="s">
        <v>1375</v>
      </c>
      <c r="N59" s="432"/>
      <c r="O59" s="19">
        <v>1842</v>
      </c>
    </row>
    <row r="60" spans="2:19" ht="15.75" thickBot="1" x14ac:dyDescent="0.3">
      <c r="M60" s="305" t="s">
        <v>1376</v>
      </c>
      <c r="N60" s="12">
        <f>O58/O59</f>
        <v>8.794788273615635E-7</v>
      </c>
      <c r="O60" s="207">
        <f>N60</f>
        <v>8.794788273615635E-7</v>
      </c>
    </row>
    <row r="61" spans="2:19" ht="15.75" thickBot="1" x14ac:dyDescent="0.3"/>
    <row r="62" spans="2:19" ht="15.75" thickBot="1" x14ac:dyDescent="0.3">
      <c r="M62" s="388" t="s">
        <v>1377</v>
      </c>
      <c r="N62" s="389"/>
      <c r="O62" s="390"/>
    </row>
    <row r="63" spans="2:19" x14ac:dyDescent="0.25">
      <c r="M63" s="757" t="s">
        <v>1383</v>
      </c>
      <c r="N63" s="758"/>
      <c r="O63" s="759"/>
    </row>
    <row r="64" spans="2:19" ht="18" x14ac:dyDescent="0.25">
      <c r="M64" s="430" t="s">
        <v>1378</v>
      </c>
      <c r="N64" s="432"/>
      <c r="O64" s="19">
        <v>1.98E-3</v>
      </c>
    </row>
    <row r="65" spans="13:15" ht="18" x14ac:dyDescent="0.25">
      <c r="M65" s="430" t="s">
        <v>1379</v>
      </c>
      <c r="N65" s="432"/>
      <c r="O65" s="19">
        <v>9.19E-4</v>
      </c>
    </row>
    <row r="66" spans="13:15" ht="18" x14ac:dyDescent="0.25">
      <c r="M66" s="430" t="s">
        <v>1380</v>
      </c>
      <c r="N66" s="432"/>
      <c r="O66" s="19">
        <v>0</v>
      </c>
    </row>
    <row r="67" spans="13:15" ht="18" x14ac:dyDescent="0.25">
      <c r="M67" s="430" t="s">
        <v>1381</v>
      </c>
      <c r="N67" s="432"/>
      <c r="O67" s="19">
        <v>800</v>
      </c>
    </row>
    <row r="68" spans="13:15" ht="15.75" thickBot="1" x14ac:dyDescent="0.3">
      <c r="M68" s="305" t="s">
        <v>1376</v>
      </c>
      <c r="N68" s="12">
        <f>(O64-O65)/(O67-O66)</f>
        <v>1.3262499999999998E-6</v>
      </c>
      <c r="O68" s="207">
        <f>N68</f>
        <v>1.3262499999999998E-6</v>
      </c>
    </row>
  </sheetData>
  <mergeCells count="144">
    <mergeCell ref="B54:G54"/>
    <mergeCell ref="B55:G56"/>
    <mergeCell ref="H26:H27"/>
    <mergeCell ref="H30:H31"/>
    <mergeCell ref="F29:G29"/>
    <mergeCell ref="G38:G39"/>
    <mergeCell ref="G42:G43"/>
    <mergeCell ref="G40:G41"/>
    <mergeCell ref="H40:H41"/>
    <mergeCell ref="E44:F45"/>
    <mergeCell ref="H44:H45"/>
    <mergeCell ref="H42:H43"/>
    <mergeCell ref="A30:C30"/>
    <mergeCell ref="H38:H39"/>
    <mergeCell ref="D33:E33"/>
    <mergeCell ref="D30:E30"/>
    <mergeCell ref="F27:G27"/>
    <mergeCell ref="F28:G28"/>
    <mergeCell ref="A26:C26"/>
    <mergeCell ref="A32:B32"/>
    <mergeCell ref="A29:B29"/>
    <mergeCell ref="A31:B31"/>
    <mergeCell ref="A44:C44"/>
    <mergeCell ref="A41:D41"/>
    <mergeCell ref="A1:E1"/>
    <mergeCell ref="A2:E2"/>
    <mergeCell ref="A3:E3"/>
    <mergeCell ref="B57:G57"/>
    <mergeCell ref="B58:G59"/>
    <mergeCell ref="B47:G47"/>
    <mergeCell ref="B48:G48"/>
    <mergeCell ref="B49:G50"/>
    <mergeCell ref="B51:G51"/>
    <mergeCell ref="B52:G53"/>
    <mergeCell ref="E42:F43"/>
    <mergeCell ref="E22:F22"/>
    <mergeCell ref="A27:B27"/>
    <mergeCell ref="A28:B28"/>
    <mergeCell ref="D26:E26"/>
    <mergeCell ref="C25:E25"/>
    <mergeCell ref="D27:E27"/>
    <mergeCell ref="D28:E28"/>
    <mergeCell ref="A45:C45"/>
    <mergeCell ref="E37:H37"/>
    <mergeCell ref="A36:H36"/>
    <mergeCell ref="A37:C37"/>
    <mergeCell ref="A38:C38"/>
    <mergeCell ref="A39:C39"/>
    <mergeCell ref="A18:C18"/>
    <mergeCell ref="A17:C17"/>
    <mergeCell ref="K21:O21"/>
    <mergeCell ref="K22:O22"/>
    <mergeCell ref="E21:F21"/>
    <mergeCell ref="A21:C21"/>
    <mergeCell ref="A22:D22"/>
    <mergeCell ref="A5:G5"/>
    <mergeCell ref="E6:G6"/>
    <mergeCell ref="E7:G8"/>
    <mergeCell ref="A7:C7"/>
    <mergeCell ref="A8:C8"/>
    <mergeCell ref="A6:C6"/>
    <mergeCell ref="A19:C19"/>
    <mergeCell ref="A20:C20"/>
    <mergeCell ref="E20:G20"/>
    <mergeCell ref="E17:G17"/>
    <mergeCell ref="E19:G19"/>
    <mergeCell ref="A12:C12"/>
    <mergeCell ref="A16:C16"/>
    <mergeCell ref="A14:G14"/>
    <mergeCell ref="A10:C10"/>
    <mergeCell ref="A9:C9"/>
    <mergeCell ref="A11:C11"/>
    <mergeCell ref="E9:G11"/>
    <mergeCell ref="E12:G12"/>
    <mergeCell ref="A15:C15"/>
    <mergeCell ref="E15:G15"/>
    <mergeCell ref="K13:O13"/>
    <mergeCell ref="K14:O14"/>
    <mergeCell ref="K28:O28"/>
    <mergeCell ref="K29:O29"/>
    <mergeCell ref="L17:O17"/>
    <mergeCell ref="K27:O27"/>
    <mergeCell ref="K24:O24"/>
    <mergeCell ref="K25:O25"/>
    <mergeCell ref="D29:E29"/>
    <mergeCell ref="A25:B25"/>
    <mergeCell ref="K23:O23"/>
    <mergeCell ref="K20:O20"/>
    <mergeCell ref="E16:G16"/>
    <mergeCell ref="E18:G18"/>
    <mergeCell ref="L19:O19"/>
    <mergeCell ref="F26:G26"/>
    <mergeCell ref="L18:O18"/>
    <mergeCell ref="F25:H25"/>
    <mergeCell ref="A24:H24"/>
    <mergeCell ref="K26:O26"/>
    <mergeCell ref="Q5:T5"/>
    <mergeCell ref="Q6:T6"/>
    <mergeCell ref="Q9:T9"/>
    <mergeCell ref="Q10:T10"/>
    <mergeCell ref="Q11:T11"/>
    <mergeCell ref="Q12:T12"/>
    <mergeCell ref="Q7:T7"/>
    <mergeCell ref="Q8:T8"/>
    <mergeCell ref="K16:O16"/>
    <mergeCell ref="K7:O7"/>
    <mergeCell ref="K6:O6"/>
    <mergeCell ref="K5:O5"/>
    <mergeCell ref="K10:O10"/>
    <mergeCell ref="K11:O11"/>
    <mergeCell ref="K12:O12"/>
    <mergeCell ref="K8:O8"/>
    <mergeCell ref="K15:O15"/>
    <mergeCell ref="D31:E31"/>
    <mergeCell ref="D32:E32"/>
    <mergeCell ref="A33:B33"/>
    <mergeCell ref="O32:P35"/>
    <mergeCell ref="K31:P31"/>
    <mergeCell ref="A42:C42"/>
    <mergeCell ref="A43:C43"/>
    <mergeCell ref="E40:F41"/>
    <mergeCell ref="E34:F34"/>
    <mergeCell ref="A40:B40"/>
    <mergeCell ref="E38:F39"/>
    <mergeCell ref="F30:G30"/>
    <mergeCell ref="F31:G31"/>
    <mergeCell ref="F32:G32"/>
    <mergeCell ref="F33:G33"/>
    <mergeCell ref="M37:N37"/>
    <mergeCell ref="K37:L37"/>
    <mergeCell ref="K36:N36"/>
    <mergeCell ref="O36:P38"/>
    <mergeCell ref="K38:L38"/>
    <mergeCell ref="M38:N38"/>
    <mergeCell ref="M57:O57"/>
    <mergeCell ref="M63:O63"/>
    <mergeCell ref="M56:O56"/>
    <mergeCell ref="M58:N58"/>
    <mergeCell ref="M59:N59"/>
    <mergeCell ref="M62:O62"/>
    <mergeCell ref="M64:N64"/>
    <mergeCell ref="M67:N67"/>
    <mergeCell ref="M65:N65"/>
    <mergeCell ref="M66:N66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82C76-ADC9-4BD7-BE41-B09B50F2B7EE}">
  <dimension ref="A1:Y122"/>
  <sheetViews>
    <sheetView workbookViewId="0">
      <selection activeCell="P41" sqref="P41"/>
    </sheetView>
  </sheetViews>
  <sheetFormatPr defaultRowHeight="15" x14ac:dyDescent="0.25"/>
  <cols>
    <col min="3" max="4" width="12" bestFit="1" customWidth="1"/>
    <col min="6" max="6" width="12" bestFit="1" customWidth="1"/>
    <col min="7" max="7" width="9.140625" customWidth="1"/>
    <col min="8" max="8" width="9.7109375" bestFit="1" customWidth="1"/>
    <col min="9" max="9" width="12" bestFit="1" customWidth="1"/>
    <col min="10" max="10" width="11" bestFit="1" customWidth="1"/>
  </cols>
  <sheetData>
    <row r="1" spans="1:25" x14ac:dyDescent="0.25">
      <c r="A1" s="463" t="s">
        <v>51</v>
      </c>
      <c r="B1" s="463"/>
      <c r="C1" s="463"/>
      <c r="D1" s="463"/>
      <c r="E1" s="463"/>
    </row>
    <row r="2" spans="1:25" x14ac:dyDescent="0.25">
      <c r="A2" s="524" t="s">
        <v>443</v>
      </c>
      <c r="B2" s="524"/>
      <c r="C2" s="524"/>
      <c r="D2" s="524"/>
      <c r="E2" s="524"/>
    </row>
    <row r="3" spans="1:25" x14ac:dyDescent="0.25">
      <c r="A3" s="442" t="s">
        <v>444</v>
      </c>
      <c r="B3" s="442"/>
      <c r="C3" s="442"/>
      <c r="D3" s="442"/>
      <c r="E3" s="442"/>
    </row>
    <row r="4" spans="1:25" ht="15.75" thickBot="1" x14ac:dyDescent="0.3"/>
    <row r="5" spans="1:25" ht="15.75" thickBot="1" x14ac:dyDescent="0.3">
      <c r="A5" s="375" t="s">
        <v>555</v>
      </c>
      <c r="B5" s="376"/>
      <c r="C5" s="376"/>
      <c r="D5" s="376"/>
      <c r="E5" s="376"/>
      <c r="F5" s="376"/>
      <c r="G5" s="377"/>
      <c r="N5" s="842" t="s">
        <v>470</v>
      </c>
      <c r="O5" s="843"/>
      <c r="P5" s="843"/>
      <c r="Q5" s="843"/>
      <c r="R5" s="843"/>
      <c r="S5" s="843"/>
      <c r="T5" s="844"/>
    </row>
    <row r="6" spans="1:25" s="27" customFormat="1" x14ac:dyDescent="0.25">
      <c r="A6" s="421" t="s">
        <v>490</v>
      </c>
      <c r="B6" s="422"/>
      <c r="C6" s="422"/>
      <c r="D6" s="422"/>
      <c r="E6" s="422"/>
      <c r="F6" s="422" t="s">
        <v>36</v>
      </c>
      <c r="G6" s="540"/>
      <c r="N6" s="521" t="s">
        <v>473</v>
      </c>
      <c r="O6" s="520"/>
      <c r="P6" s="520"/>
      <c r="Q6" s="520"/>
      <c r="R6" s="520"/>
      <c r="S6" s="520"/>
      <c r="T6" s="538"/>
    </row>
    <row r="7" spans="1:25" ht="18" x14ac:dyDescent="0.25">
      <c r="A7" s="868" t="s">
        <v>497</v>
      </c>
      <c r="B7" s="535"/>
      <c r="C7" s="98" t="s">
        <v>538</v>
      </c>
      <c r="D7" s="381" t="s">
        <v>539</v>
      </c>
      <c r="E7" s="381"/>
      <c r="F7" s="429" t="s">
        <v>536</v>
      </c>
      <c r="G7" s="869"/>
      <c r="H7" s="83"/>
      <c r="N7" s="801" t="s">
        <v>472</v>
      </c>
      <c r="O7" s="427"/>
      <c r="P7" s="427"/>
      <c r="Q7" s="427"/>
      <c r="R7" s="427"/>
      <c r="S7" s="427"/>
      <c r="T7" s="847"/>
    </row>
    <row r="8" spans="1:25" ht="18" x14ac:dyDescent="0.35">
      <c r="A8" s="97" t="s">
        <v>491</v>
      </c>
      <c r="B8" s="99" t="s">
        <v>860</v>
      </c>
      <c r="C8" s="121">
        <v>1.5</v>
      </c>
      <c r="D8" s="122" t="s">
        <v>488</v>
      </c>
      <c r="E8" s="99">
        <v>1</v>
      </c>
      <c r="F8" s="870" t="s">
        <v>537</v>
      </c>
      <c r="G8" s="871"/>
      <c r="J8" s="27"/>
      <c r="N8" s="539" t="s">
        <v>483</v>
      </c>
      <c r="O8" s="523"/>
      <c r="P8" s="523"/>
      <c r="Q8" s="523"/>
      <c r="R8" s="523"/>
      <c r="S8" s="523"/>
      <c r="T8" s="541"/>
    </row>
    <row r="9" spans="1:25" ht="17.25" customHeight="1" x14ac:dyDescent="0.35">
      <c r="A9" s="97" t="s">
        <v>492</v>
      </c>
      <c r="B9" s="99" t="s">
        <v>543</v>
      </c>
      <c r="C9" s="121">
        <v>1.1000000000000001</v>
      </c>
      <c r="D9" s="122" t="s">
        <v>489</v>
      </c>
      <c r="E9" s="99">
        <v>3</v>
      </c>
      <c r="F9" s="872"/>
      <c r="G9" s="873"/>
      <c r="N9" s="336" t="s">
        <v>482</v>
      </c>
      <c r="O9" s="337"/>
      <c r="P9" s="337"/>
      <c r="Q9" s="337"/>
      <c r="R9" s="337"/>
      <c r="S9" s="337"/>
      <c r="T9" s="846"/>
    </row>
    <row r="10" spans="1:25" ht="18" x14ac:dyDescent="0.35">
      <c r="A10" s="97" t="s">
        <v>493</v>
      </c>
      <c r="B10" s="99" t="s">
        <v>859</v>
      </c>
      <c r="C10" s="121">
        <v>0.47</v>
      </c>
      <c r="D10" s="122" t="s">
        <v>486</v>
      </c>
      <c r="E10" s="99">
        <v>2</v>
      </c>
      <c r="F10" s="504">
        <f>(F8="KC") * (C10^E10*C11^E11)/(C8^E8*C9^E9)
+(F8="A") * (C10^E10*C11^E11)/(C9^E9*C12)
+(F8="B") * (C10^E10*C11^E11)/(C8^E8*C12)
+(F8="C") * (C8^E8*C9^E9*C12)/(C11^E11)
+(F8="D") * (C8^E8*C9^E9*C12)/(C10^E10)</f>
        <v>0.11064362634610564</v>
      </c>
      <c r="G10" s="505"/>
      <c r="J10" s="27"/>
      <c r="N10" s="539" t="s">
        <v>484</v>
      </c>
      <c r="O10" s="523"/>
      <c r="P10" s="523"/>
      <c r="Q10" s="523"/>
      <c r="R10" s="523"/>
      <c r="S10" s="523"/>
      <c r="T10" s="541"/>
    </row>
    <row r="11" spans="1:25" ht="18.75" x14ac:dyDescent="0.35">
      <c r="A11" s="97" t="s">
        <v>494</v>
      </c>
      <c r="B11" s="99">
        <v>1</v>
      </c>
      <c r="C11" s="121">
        <v>1</v>
      </c>
      <c r="D11" s="122" t="s">
        <v>487</v>
      </c>
      <c r="E11" s="99">
        <v>1</v>
      </c>
      <c r="F11" s="504"/>
      <c r="G11" s="505"/>
      <c r="N11" s="787" t="s">
        <v>485</v>
      </c>
      <c r="O11" s="765"/>
      <c r="P11" s="765"/>
      <c r="Q11" s="765"/>
      <c r="R11" s="765"/>
      <c r="S11" s="765"/>
      <c r="T11" s="845"/>
    </row>
    <row r="12" spans="1:25" ht="19.5" thickBot="1" x14ac:dyDescent="0.4">
      <c r="A12" s="796" t="s">
        <v>501</v>
      </c>
      <c r="B12" s="797"/>
      <c r="C12" s="867">
        <v>1</v>
      </c>
      <c r="D12" s="867"/>
      <c r="E12" s="120"/>
      <c r="F12" s="515" t="str">
        <f>TEXT(F10,"0.00E+00")</f>
        <v>1.11E-01</v>
      </c>
      <c r="G12" s="577"/>
      <c r="H12" s="27"/>
      <c r="I12" s="27"/>
      <c r="J12" s="27"/>
      <c r="K12" s="27"/>
      <c r="N12" s="787" t="s">
        <v>522</v>
      </c>
      <c r="O12" s="765"/>
      <c r="P12" s="765"/>
      <c r="Q12" s="765"/>
      <c r="R12" s="765"/>
      <c r="S12" s="765"/>
      <c r="T12" s="845"/>
    </row>
    <row r="13" spans="1:25" ht="19.5" thickBot="1" x14ac:dyDescent="0.4">
      <c r="N13" s="787" t="s">
        <v>521</v>
      </c>
      <c r="O13" s="765"/>
      <c r="P13" s="765"/>
      <c r="Q13" s="765"/>
      <c r="R13" s="765"/>
      <c r="S13" s="765"/>
      <c r="T13" s="845"/>
      <c r="U13" s="27"/>
      <c r="V13" s="27"/>
      <c r="W13" s="27"/>
      <c r="X13" s="27"/>
      <c r="Y13" s="27"/>
    </row>
    <row r="14" spans="1:25" ht="15.75" thickBot="1" x14ac:dyDescent="0.3">
      <c r="A14" s="360" t="s">
        <v>512</v>
      </c>
      <c r="B14" s="361"/>
      <c r="C14" s="361"/>
      <c r="D14" s="361"/>
      <c r="E14" s="361"/>
      <c r="F14" s="361"/>
      <c r="G14" s="361"/>
      <c r="H14" s="361"/>
      <c r="I14" s="361"/>
      <c r="J14" s="361"/>
      <c r="K14" s="362"/>
      <c r="N14" s="813" t="s">
        <v>518</v>
      </c>
      <c r="O14" s="814"/>
      <c r="P14" s="814"/>
      <c r="Q14" s="814"/>
      <c r="R14" s="814"/>
      <c r="S14" s="814"/>
      <c r="T14" s="713"/>
      <c r="U14" s="27"/>
      <c r="V14" s="27"/>
      <c r="W14" s="27"/>
      <c r="X14" s="27"/>
      <c r="Y14" s="27"/>
    </row>
    <row r="15" spans="1:25" ht="15.75" thickBot="1" x14ac:dyDescent="0.3">
      <c r="A15" s="848" t="s">
        <v>556</v>
      </c>
      <c r="B15" s="849"/>
      <c r="C15" s="849"/>
      <c r="D15" s="849"/>
      <c r="E15" s="849"/>
      <c r="F15" s="849"/>
      <c r="G15" s="849"/>
      <c r="H15" s="849"/>
      <c r="I15" s="849"/>
      <c r="J15" s="849"/>
      <c r="K15" s="850"/>
      <c r="N15" s="858" t="s">
        <v>857</v>
      </c>
      <c r="O15" s="859"/>
      <c r="P15" s="859"/>
      <c r="Q15" s="859"/>
      <c r="R15" s="859"/>
      <c r="S15" s="859"/>
      <c r="T15" s="860"/>
    </row>
    <row r="16" spans="1:25" s="27" customFormat="1" ht="15.75" thickBot="1" x14ac:dyDescent="0.3">
      <c r="A16" s="357" t="s">
        <v>554</v>
      </c>
      <c r="B16" s="358"/>
      <c r="C16" s="358"/>
      <c r="D16" s="358"/>
      <c r="E16" s="358"/>
      <c r="F16" s="358"/>
      <c r="G16" s="358"/>
      <c r="H16" s="358"/>
      <c r="I16" s="358"/>
      <c r="J16" s="358"/>
      <c r="K16" s="359"/>
      <c r="N16"/>
      <c r="O16"/>
      <c r="P16"/>
      <c r="Q16"/>
      <c r="R16"/>
      <c r="S16"/>
      <c r="T16"/>
      <c r="U16"/>
      <c r="V16"/>
      <c r="W16"/>
      <c r="X16"/>
      <c r="Y16"/>
    </row>
    <row r="17" spans="1:25" s="27" customFormat="1" x14ac:dyDescent="0.25">
      <c r="A17" s="421" t="s">
        <v>35</v>
      </c>
      <c r="B17" s="422"/>
      <c r="C17" s="422"/>
      <c r="D17" s="422"/>
      <c r="E17" s="422"/>
      <c r="F17" s="422"/>
      <c r="G17" s="422"/>
      <c r="H17" s="520" t="s">
        <v>502</v>
      </c>
      <c r="I17" s="520"/>
      <c r="J17" s="520" t="s">
        <v>36</v>
      </c>
      <c r="K17" s="538"/>
      <c r="N17" s="855" t="s">
        <v>503</v>
      </c>
      <c r="O17" s="856"/>
      <c r="P17" s="856"/>
      <c r="Q17" s="856"/>
      <c r="R17" s="856"/>
      <c r="S17" s="856"/>
      <c r="T17" s="856"/>
      <c r="U17" s="856"/>
      <c r="V17" s="856"/>
      <c r="W17" s="856"/>
      <c r="X17" s="856"/>
      <c r="Y17" s="857"/>
    </row>
    <row r="18" spans="1:25" s="27" customFormat="1" x14ac:dyDescent="0.25">
      <c r="A18" s="366" t="s">
        <v>500</v>
      </c>
      <c r="B18" s="367"/>
      <c r="C18" s="367"/>
      <c r="D18" s="851">
        <v>8.1</v>
      </c>
      <c r="E18" s="441"/>
      <c r="F18" s="624"/>
      <c r="G18" s="825"/>
      <c r="H18" s="460"/>
      <c r="I18" s="460"/>
      <c r="J18" s="460"/>
      <c r="K18" s="461"/>
      <c r="N18" s="366" t="s">
        <v>504</v>
      </c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8"/>
    </row>
    <row r="19" spans="1:25" s="27" customFormat="1" x14ac:dyDescent="0.25">
      <c r="A19" s="874" t="s">
        <v>497</v>
      </c>
      <c r="B19" s="875"/>
      <c r="C19" s="126" t="s">
        <v>498</v>
      </c>
      <c r="D19" s="381" t="s">
        <v>186</v>
      </c>
      <c r="E19" s="381"/>
      <c r="F19" s="427" t="s">
        <v>533</v>
      </c>
      <c r="G19" s="427"/>
      <c r="H19" s="126" t="s">
        <v>499</v>
      </c>
      <c r="I19" s="126" t="s">
        <v>496</v>
      </c>
      <c r="J19" s="427" t="s">
        <v>501</v>
      </c>
      <c r="K19" s="847"/>
      <c r="N19" s="57"/>
      <c r="O19" s="23"/>
      <c r="P19" s="23"/>
      <c r="Q19" s="23"/>
      <c r="R19" s="23"/>
      <c r="S19" s="23"/>
      <c r="T19" s="23"/>
      <c r="U19" s="110"/>
      <c r="V19" s="110"/>
      <c r="W19" s="110"/>
      <c r="X19" s="110"/>
      <c r="Y19" s="111"/>
    </row>
    <row r="20" spans="1:25" ht="18" x14ac:dyDescent="0.35">
      <c r="A20" s="124" t="s">
        <v>491</v>
      </c>
      <c r="B20" s="101" t="s">
        <v>925</v>
      </c>
      <c r="C20" s="101">
        <v>17.399999999999999</v>
      </c>
      <c r="D20" s="500">
        <f>H+N+O*3</f>
        <v>63.012839999999997</v>
      </c>
      <c r="E20" s="500"/>
      <c r="F20" s="100" t="s">
        <v>488</v>
      </c>
      <c r="G20" s="148">
        <v>2</v>
      </c>
      <c r="H20" s="127">
        <f>(IF(NOT(ISNUMBER(C20)),1,C20))/(IF(NOT(ISNUMBER(D20)),1,D20))</f>
        <v>0.27613419741119427</v>
      </c>
      <c r="I20" s="3">
        <f>IF(H20=1,1,H20/$D$18)</f>
        <v>3.4090641655702997E-2</v>
      </c>
      <c r="J20" s="427"/>
      <c r="K20" s="847"/>
      <c r="N20" s="57"/>
      <c r="O20" s="23"/>
      <c r="P20" s="23"/>
      <c r="Q20" s="23"/>
      <c r="R20" s="23"/>
      <c r="S20" s="23"/>
      <c r="T20" s="23"/>
      <c r="U20" s="110"/>
      <c r="V20" s="110"/>
      <c r="W20" s="110"/>
      <c r="X20" s="110"/>
      <c r="Y20" s="111"/>
    </row>
    <row r="21" spans="1:25" ht="18" x14ac:dyDescent="0.35">
      <c r="A21" s="123" t="s">
        <v>492</v>
      </c>
      <c r="B21" s="129" t="s">
        <v>750</v>
      </c>
      <c r="C21" s="101">
        <v>6.9</v>
      </c>
      <c r="D21" s="500">
        <f>N+O</f>
        <v>30.0061</v>
      </c>
      <c r="E21" s="500"/>
      <c r="F21" s="130" t="s">
        <v>489</v>
      </c>
      <c r="G21" s="148">
        <v>1</v>
      </c>
      <c r="H21" s="127">
        <f>(IF(NOT(ISNUMBER(C21)),1,C21))/(IF(NOT(ISNUMBER(D21)),1,D21))</f>
        <v>0.22995324284062241</v>
      </c>
      <c r="I21" s="3">
        <f>IF(H21=1,1,H21/$D$18)</f>
        <v>2.8389289239583015E-2</v>
      </c>
      <c r="J21" s="531">
        <f>(I22^G22*I23^G23)/(I20^G20*I21^G21)</f>
        <v>0.45609392676423843</v>
      </c>
      <c r="K21" s="689"/>
      <c r="N21" s="57"/>
      <c r="O21" s="23"/>
      <c r="P21" s="23"/>
      <c r="Q21" s="23"/>
      <c r="R21" s="23"/>
      <c r="S21" s="23"/>
      <c r="T21" s="23"/>
      <c r="U21" s="110"/>
      <c r="V21" s="110"/>
      <c r="W21" s="110"/>
      <c r="X21" s="110"/>
      <c r="Y21" s="111"/>
    </row>
    <row r="22" spans="1:25" ht="18" customHeight="1" x14ac:dyDescent="0.35">
      <c r="A22" s="124" t="s">
        <v>493</v>
      </c>
      <c r="B22" s="129" t="s">
        <v>351</v>
      </c>
      <c r="C22" s="101">
        <v>9.1999999999999993</v>
      </c>
      <c r="D22" s="500">
        <f>N+O*2</f>
        <v>46.005499999999998</v>
      </c>
      <c r="E22" s="500"/>
      <c r="F22" s="130" t="s">
        <v>486</v>
      </c>
      <c r="G22" s="148">
        <v>3</v>
      </c>
      <c r="H22" s="127">
        <f>(IF(NOT(ISNUMBER(C22)),1,C22))/(IF(NOT(ISNUMBER(D22)),1,D22))</f>
        <v>0.19997608981534815</v>
      </c>
      <c r="I22" s="3">
        <f>IF(H22=1,1,H22/$D$18)</f>
        <v>2.4688406150042981E-2</v>
      </c>
      <c r="J22" s="690"/>
      <c r="K22" s="692"/>
      <c r="N22" s="57"/>
      <c r="O22" s="23"/>
      <c r="P22" s="23"/>
      <c r="Q22" s="23"/>
      <c r="R22" s="23"/>
      <c r="S22" s="23"/>
      <c r="T22" s="23"/>
      <c r="U22" s="110"/>
      <c r="V22" s="110"/>
      <c r="W22" s="110"/>
      <c r="X22" s="110"/>
      <c r="Y22" s="111"/>
    </row>
    <row r="23" spans="1:25" ht="18.75" thickBot="1" x14ac:dyDescent="0.4">
      <c r="A23" s="125" t="s">
        <v>494</v>
      </c>
      <c r="B23" s="132" t="s">
        <v>1316</v>
      </c>
      <c r="C23" s="132" t="s">
        <v>1350</v>
      </c>
      <c r="D23" s="501"/>
      <c r="E23" s="501"/>
      <c r="F23" s="131" t="s">
        <v>487</v>
      </c>
      <c r="G23" s="149"/>
      <c r="H23" s="128">
        <f>(IF(NOT(ISNUMBER(C23)),1,C23))/(IF(NOT(ISNUMBER(D23)),1,D23))</f>
        <v>1</v>
      </c>
      <c r="I23" s="102">
        <f>IF(H23=1,1,H23/$D$18)</f>
        <v>1</v>
      </c>
      <c r="J23" s="515" t="str">
        <f>TEXT(J21,"0.00E+00")</f>
        <v>4.56E-01</v>
      </c>
      <c r="K23" s="577"/>
      <c r="N23" s="57"/>
      <c r="O23" s="23"/>
      <c r="P23" s="23"/>
      <c r="Q23" s="23"/>
      <c r="R23" s="23"/>
      <c r="S23" s="23"/>
      <c r="T23" s="23"/>
      <c r="U23" s="854" t="s">
        <v>517</v>
      </c>
      <c r="V23" s="854"/>
      <c r="W23" s="854"/>
      <c r="X23" s="852" t="s">
        <v>515</v>
      </c>
      <c r="Y23" s="853"/>
    </row>
    <row r="24" spans="1:25" ht="15.75" thickBot="1" x14ac:dyDescent="0.3">
      <c r="A24" s="68"/>
      <c r="B24" s="66"/>
      <c r="C24" s="71"/>
      <c r="D24" s="71"/>
      <c r="E24" s="71"/>
      <c r="F24" s="119"/>
      <c r="G24" s="71"/>
      <c r="N24" s="57"/>
      <c r="O24" s="23"/>
      <c r="P24" s="23"/>
      <c r="Q24" s="23"/>
      <c r="R24" s="23"/>
      <c r="S24" s="23"/>
      <c r="T24" s="23"/>
      <c r="U24" s="854" t="s">
        <v>514</v>
      </c>
      <c r="V24" s="854"/>
      <c r="W24" s="854"/>
      <c r="X24" s="852" t="s">
        <v>516</v>
      </c>
      <c r="Y24" s="853"/>
    </row>
    <row r="25" spans="1:25" ht="15.75" thickBot="1" x14ac:dyDescent="0.3">
      <c r="A25" s="388" t="s">
        <v>535</v>
      </c>
      <c r="B25" s="389"/>
      <c r="C25" s="389"/>
      <c r="D25" s="389"/>
      <c r="E25" s="389"/>
      <c r="F25" s="389"/>
      <c r="G25" s="390"/>
      <c r="N25" s="57"/>
      <c r="O25" s="23"/>
      <c r="P25" s="23"/>
      <c r="Q25" s="23"/>
      <c r="R25" s="23"/>
      <c r="S25" s="23"/>
      <c r="T25" s="23"/>
      <c r="U25" s="854" t="s">
        <v>514</v>
      </c>
      <c r="V25" s="854"/>
      <c r="W25" s="854"/>
      <c r="X25" s="852" t="s">
        <v>516</v>
      </c>
      <c r="Y25" s="853"/>
    </row>
    <row r="26" spans="1:25" x14ac:dyDescent="0.25">
      <c r="A26" s="366" t="s">
        <v>852</v>
      </c>
      <c r="B26" s="367"/>
      <c r="C26" s="367"/>
      <c r="D26" s="367"/>
      <c r="E26" s="367"/>
      <c r="F26" s="367"/>
      <c r="G26" s="368"/>
      <c r="N26" s="57"/>
      <c r="O26" s="23"/>
      <c r="P26" s="23"/>
      <c r="Q26" s="23"/>
      <c r="R26" s="23"/>
      <c r="S26" s="23"/>
      <c r="T26" s="23"/>
      <c r="U26" s="854" t="s">
        <v>517</v>
      </c>
      <c r="V26" s="854"/>
      <c r="W26" s="854"/>
      <c r="X26" s="852" t="s">
        <v>515</v>
      </c>
      <c r="Y26" s="853"/>
    </row>
    <row r="27" spans="1:25" x14ac:dyDescent="0.25">
      <c r="A27" s="552" t="s">
        <v>511</v>
      </c>
      <c r="B27" s="553"/>
      <c r="C27" s="553"/>
      <c r="D27" s="553"/>
      <c r="E27" s="553"/>
      <c r="F27" s="553"/>
      <c r="G27" s="768"/>
      <c r="N27" s="57"/>
      <c r="O27" s="23"/>
      <c r="P27" s="23"/>
      <c r="Q27" s="23"/>
      <c r="R27" s="23"/>
      <c r="S27" s="23"/>
      <c r="T27" s="23"/>
      <c r="U27" s="104"/>
      <c r="V27" s="104"/>
      <c r="W27" s="104"/>
      <c r="X27" s="104"/>
      <c r="Y27" s="105"/>
    </row>
    <row r="28" spans="1:25" x14ac:dyDescent="0.25">
      <c r="A28" s="649" t="s">
        <v>1333</v>
      </c>
      <c r="B28" s="550"/>
      <c r="C28" s="550"/>
      <c r="D28" s="550"/>
      <c r="E28" s="550"/>
      <c r="F28" s="550"/>
      <c r="G28" s="559"/>
      <c r="H28" s="27"/>
      <c r="I28" s="27"/>
      <c r="J28" s="27"/>
      <c r="K28" s="27"/>
      <c r="L28" s="27"/>
      <c r="M28" s="27"/>
      <c r="N28" s="57"/>
      <c r="O28" s="23"/>
      <c r="P28" s="23"/>
      <c r="Q28" s="23"/>
      <c r="R28" s="23"/>
      <c r="S28" s="23"/>
      <c r="T28" s="23"/>
      <c r="U28" s="106"/>
      <c r="V28" s="106"/>
      <c r="W28" s="106"/>
      <c r="X28" s="106"/>
      <c r="Y28" s="107"/>
    </row>
    <row r="29" spans="1:25" x14ac:dyDescent="0.25">
      <c r="A29" s="366" t="s">
        <v>853</v>
      </c>
      <c r="B29" s="367"/>
      <c r="C29" s="367"/>
      <c r="D29" s="367"/>
      <c r="E29" s="367"/>
      <c r="F29" s="367"/>
      <c r="G29" s="368"/>
      <c r="N29" s="57"/>
      <c r="O29" s="23"/>
      <c r="P29" s="23"/>
      <c r="Q29" s="23"/>
      <c r="R29" s="23"/>
      <c r="S29" s="23"/>
      <c r="T29" s="23"/>
      <c r="U29" s="106"/>
      <c r="V29" s="106"/>
      <c r="W29" s="106"/>
      <c r="X29" s="106"/>
      <c r="Y29" s="107"/>
    </row>
    <row r="30" spans="1:25" ht="15.75" thickBot="1" x14ac:dyDescent="0.3">
      <c r="A30" s="357" t="s">
        <v>561</v>
      </c>
      <c r="B30" s="358"/>
      <c r="C30" s="358"/>
      <c r="D30" s="358"/>
      <c r="E30" s="358"/>
      <c r="F30" s="358"/>
      <c r="G30" s="359"/>
      <c r="N30" s="57"/>
      <c r="O30" s="23"/>
      <c r="P30" s="23"/>
      <c r="Q30" s="23"/>
      <c r="R30" s="23"/>
      <c r="S30" s="23"/>
      <c r="T30" s="23"/>
      <c r="U30" s="108"/>
      <c r="V30" s="108"/>
      <c r="W30" s="108"/>
      <c r="X30" s="108"/>
      <c r="Y30" s="109"/>
    </row>
    <row r="31" spans="1:25" x14ac:dyDescent="0.25">
      <c r="A31" s="421" t="s">
        <v>505</v>
      </c>
      <c r="B31" s="422"/>
      <c r="C31" s="422"/>
      <c r="D31" s="422"/>
      <c r="E31" s="422"/>
      <c r="F31" s="422"/>
      <c r="G31" s="540"/>
      <c r="N31" s="57"/>
      <c r="O31" s="23"/>
      <c r="P31" s="23"/>
      <c r="Q31" s="23"/>
      <c r="R31" s="23"/>
      <c r="S31" s="23"/>
      <c r="T31" s="23"/>
      <c r="U31" s="854" t="s">
        <v>517</v>
      </c>
      <c r="V31" s="854"/>
      <c r="W31" s="854"/>
      <c r="X31" s="852" t="s">
        <v>515</v>
      </c>
      <c r="Y31" s="853"/>
    </row>
    <row r="32" spans="1:25" x14ac:dyDescent="0.25">
      <c r="A32" s="363" t="s">
        <v>507</v>
      </c>
      <c r="B32" s="364"/>
      <c r="C32" s="364"/>
      <c r="D32" s="101">
        <v>1</v>
      </c>
      <c r="E32" s="136" t="s">
        <v>541</v>
      </c>
      <c r="F32" s="101" t="s">
        <v>508</v>
      </c>
      <c r="G32" s="103"/>
      <c r="N32" s="57"/>
      <c r="O32" s="23"/>
      <c r="P32" s="23"/>
      <c r="Q32" s="23"/>
      <c r="R32" s="23"/>
      <c r="S32" s="23"/>
      <c r="T32" s="23"/>
      <c r="U32" s="854" t="s">
        <v>514</v>
      </c>
      <c r="V32" s="854"/>
      <c r="W32" s="854"/>
      <c r="X32" s="852" t="s">
        <v>516</v>
      </c>
      <c r="Y32" s="853"/>
    </row>
    <row r="33" spans="1:25" ht="18" x14ac:dyDescent="0.25">
      <c r="A33" s="861" t="s">
        <v>497</v>
      </c>
      <c r="B33" s="685"/>
      <c r="C33" s="862"/>
      <c r="D33" s="138" t="s">
        <v>557</v>
      </c>
      <c r="E33" s="138" t="s">
        <v>558</v>
      </c>
      <c r="F33" s="138" t="s">
        <v>559</v>
      </c>
      <c r="G33" s="143" t="s">
        <v>560</v>
      </c>
      <c r="N33" s="57"/>
      <c r="O33" s="23"/>
      <c r="P33" s="23"/>
      <c r="Q33" s="23"/>
      <c r="R33" s="23"/>
      <c r="S33" s="23"/>
      <c r="T33" s="23"/>
      <c r="U33" s="854" t="s">
        <v>514</v>
      </c>
      <c r="V33" s="854"/>
      <c r="W33" s="854"/>
      <c r="X33" s="852" t="s">
        <v>516</v>
      </c>
      <c r="Y33" s="853"/>
    </row>
    <row r="34" spans="1:25" x14ac:dyDescent="0.25">
      <c r="A34" s="863"/>
      <c r="B34" s="687"/>
      <c r="C34" s="864"/>
      <c r="D34" s="1" t="s">
        <v>966</v>
      </c>
      <c r="E34" s="1" t="s">
        <v>1316</v>
      </c>
      <c r="F34" s="1" t="s">
        <v>1412</v>
      </c>
      <c r="G34" s="19" t="s">
        <v>1413</v>
      </c>
      <c r="N34" s="57"/>
      <c r="O34" s="23"/>
      <c r="P34" s="23"/>
      <c r="Q34" s="23"/>
      <c r="R34" s="23"/>
      <c r="S34" s="23"/>
      <c r="T34" s="23"/>
      <c r="U34" s="854" t="s">
        <v>517</v>
      </c>
      <c r="V34" s="854"/>
      <c r="W34" s="854"/>
      <c r="X34" s="852" t="s">
        <v>515</v>
      </c>
      <c r="Y34" s="853"/>
    </row>
    <row r="35" spans="1:25" ht="15.75" thickBot="1" x14ac:dyDescent="0.3">
      <c r="A35" s="649" t="s">
        <v>523</v>
      </c>
      <c r="B35" s="550"/>
      <c r="C35" s="551"/>
      <c r="D35" s="1">
        <v>1</v>
      </c>
      <c r="E35" s="1">
        <v>1</v>
      </c>
      <c r="F35" s="1">
        <v>1</v>
      </c>
      <c r="G35" s="19">
        <v>1</v>
      </c>
      <c r="H35" s="27"/>
      <c r="N35" s="58"/>
      <c r="O35" s="59"/>
      <c r="P35" s="59"/>
      <c r="Q35" s="59"/>
      <c r="R35" s="59"/>
      <c r="S35" s="59"/>
      <c r="T35" s="59"/>
      <c r="U35" s="112"/>
      <c r="V35" s="112"/>
      <c r="W35" s="112"/>
      <c r="X35" s="112"/>
      <c r="Y35" s="113"/>
    </row>
    <row r="36" spans="1:25" x14ac:dyDescent="0.25">
      <c r="A36" s="366" t="s">
        <v>495</v>
      </c>
      <c r="B36" s="367"/>
      <c r="C36" s="367"/>
      <c r="D36" s="1">
        <v>1.1299999999999999</v>
      </c>
      <c r="E36" s="1">
        <v>0</v>
      </c>
      <c r="F36" s="1">
        <v>0</v>
      </c>
      <c r="G36" s="19">
        <v>0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</row>
    <row r="37" spans="1:25" s="27" customFormat="1" x14ac:dyDescent="0.25">
      <c r="A37" s="366" t="s">
        <v>509</v>
      </c>
      <c r="B37" s="367"/>
      <c r="C37" s="367"/>
      <c r="D37" s="3">
        <f>D36/$D$32</f>
        <v>1.1299999999999999</v>
      </c>
      <c r="E37" s="3">
        <f>E36/$D$32</f>
        <v>0</v>
      </c>
      <c r="F37" s="3">
        <f>F36/$D$32</f>
        <v>0</v>
      </c>
      <c r="G37" s="31">
        <f>G36/$D$32</f>
        <v>0</v>
      </c>
      <c r="H37"/>
      <c r="J37">
        <f>(5.2*10^-5)*1.13</f>
        <v>5.876E-5</v>
      </c>
      <c r="K37"/>
      <c r="L37"/>
      <c r="M37"/>
      <c r="R37" s="23"/>
      <c r="W37" s="23"/>
      <c r="X37" s="23"/>
      <c r="Y37" s="23"/>
    </row>
    <row r="38" spans="1:25" s="27" customFormat="1" x14ac:dyDescent="0.25">
      <c r="A38" s="366" t="s">
        <v>510</v>
      </c>
      <c r="B38" s="367"/>
      <c r="C38" s="367"/>
      <c r="D38" s="6">
        <f>IF($F$32="ml",D37*1000,IF($F$32="L",D37))</f>
        <v>1130</v>
      </c>
      <c r="E38" s="6">
        <f>IF($F$32="ml",E37*1000,IF($F$32="L",E37))</f>
        <v>0</v>
      </c>
      <c r="F38" s="6">
        <f>IF($F$32="ml",F37*1000,IF($F$32="L",F37))</f>
        <v>0</v>
      </c>
      <c r="G38" s="11">
        <f>IF($F$32="ml",G37*1000,IF($F$32="L",G37))</f>
        <v>0</v>
      </c>
      <c r="I38"/>
      <c r="J38" s="27">
        <f>SQRT(J37)</f>
        <v>7.6655071586947199E-3</v>
      </c>
      <c r="N38" s="66"/>
      <c r="O38" s="66"/>
      <c r="P38" s="66"/>
      <c r="Q38" s="66"/>
      <c r="R38" s="66"/>
    </row>
    <row r="39" spans="1:25" x14ac:dyDescent="0.25">
      <c r="A39" s="397" t="s">
        <v>851</v>
      </c>
      <c r="B39" s="398"/>
      <c r="C39" s="803"/>
      <c r="D39" s="1">
        <v>1</v>
      </c>
      <c r="E39" s="1">
        <v>1</v>
      </c>
      <c r="F39" s="1">
        <v>-1</v>
      </c>
      <c r="G39" s="19">
        <v>-1</v>
      </c>
      <c r="H39" s="30"/>
      <c r="I39" s="27"/>
      <c r="J39" s="333">
        <f>J38</f>
        <v>7.6655071586947199E-3</v>
      </c>
      <c r="K39" s="27"/>
      <c r="L39" s="28"/>
      <c r="M39" s="27"/>
    </row>
    <row r="40" spans="1:25" ht="15" customHeight="1" x14ac:dyDescent="0.25">
      <c r="A40" s="400"/>
      <c r="B40" s="401"/>
      <c r="C40" s="804"/>
      <c r="D40" s="138" t="s">
        <v>372</v>
      </c>
      <c r="E40" s="138" t="s">
        <v>372</v>
      </c>
      <c r="F40" s="138" t="s">
        <v>372</v>
      </c>
      <c r="G40" s="143" t="s">
        <v>372</v>
      </c>
      <c r="H40" s="27"/>
    </row>
    <row r="41" spans="1:25" ht="15.75" customHeight="1" x14ac:dyDescent="0.25">
      <c r="A41" s="380" t="s">
        <v>506</v>
      </c>
      <c r="B41" s="381"/>
      <c r="C41" s="381"/>
      <c r="D41" s="115" t="str">
        <f>CONCATENATE(D38," + ",D39,D40)</f>
        <v>1130 + 1x</v>
      </c>
      <c r="E41" s="115" t="str">
        <f>CONCATENATE(E38," + ",E39,E40)</f>
        <v>0 + 1x</v>
      </c>
      <c r="F41" s="115" t="str">
        <f>CONCATENATE(F38," + ",F39,F40)</f>
        <v>0 + -1x</v>
      </c>
      <c r="G41" s="116" t="str">
        <f>CONCATENATE(G38," + ",G39,G40)</f>
        <v>0 + -1x</v>
      </c>
    </row>
    <row r="42" spans="1:25" ht="15" customHeight="1" x14ac:dyDescent="0.25">
      <c r="A42" s="813" t="s">
        <v>519</v>
      </c>
      <c r="B42" s="814"/>
      <c r="C42" s="815"/>
      <c r="D42" s="805" t="str">
        <f>_xlfn.CONCAT("(",F41,")^",F35,"*(",G41,")^",G35,"/(",D41,")^",D35,"*(",E41,")^",E35)</f>
        <v>(0 + -1x)^1*(0 + -1x)^1/(1130 + 1x)^1*(0 + 1x)^1</v>
      </c>
      <c r="E42" s="806"/>
      <c r="F42" s="806"/>
      <c r="G42" s="807"/>
    </row>
    <row r="43" spans="1:25" s="27" customFormat="1" ht="15" customHeight="1" x14ac:dyDescent="0.25">
      <c r="A43" s="816"/>
      <c r="B43" s="817"/>
      <c r="C43" s="818"/>
      <c r="D43" s="808"/>
      <c r="E43" s="809"/>
      <c r="F43" s="809"/>
      <c r="G43" s="810"/>
      <c r="I43"/>
      <c r="J43"/>
      <c r="K43"/>
      <c r="L43"/>
      <c r="M43"/>
    </row>
    <row r="44" spans="1:25" ht="15.75" thickBot="1" x14ac:dyDescent="0.3">
      <c r="A44" s="787" t="s">
        <v>520</v>
      </c>
      <c r="B44" s="765"/>
      <c r="C44" s="765"/>
      <c r="D44" s="865">
        <f>5.2*10^-5</f>
        <v>5.2000000000000004E-5</v>
      </c>
      <c r="E44" s="865"/>
      <c r="F44" s="865"/>
      <c r="G44" s="866"/>
      <c r="I44" s="27"/>
      <c r="J44" s="27"/>
      <c r="K44" s="27"/>
      <c r="L44" s="27"/>
      <c r="M44" s="27"/>
    </row>
    <row r="45" spans="1:25" s="27" customFormat="1" ht="15" customHeight="1" x14ac:dyDescent="0.25">
      <c r="A45" s="784" t="s">
        <v>875</v>
      </c>
      <c r="B45" s="811"/>
      <c r="C45" s="811"/>
      <c r="D45" s="811"/>
      <c r="E45" s="811"/>
      <c r="F45" s="811"/>
      <c r="G45" s="812"/>
      <c r="H45"/>
      <c r="I45" s="391" t="s">
        <v>874</v>
      </c>
      <c r="J45" s="392"/>
      <c r="K45" s="392"/>
      <c r="L45" s="393"/>
    </row>
    <row r="46" spans="1:25" s="27" customFormat="1" x14ac:dyDescent="0.25">
      <c r="A46" s="819" t="s">
        <v>854</v>
      </c>
      <c r="B46" s="820"/>
      <c r="C46" s="820"/>
      <c r="D46" s="820"/>
      <c r="E46" s="820"/>
      <c r="F46" s="820"/>
      <c r="G46" s="821"/>
      <c r="I46" s="394"/>
      <c r="J46" s="395"/>
      <c r="K46" s="395"/>
      <c r="L46" s="396"/>
    </row>
    <row r="47" spans="1:25" x14ac:dyDescent="0.25">
      <c r="A47" s="678" t="s">
        <v>844</v>
      </c>
      <c r="B47" s="679"/>
      <c r="C47" s="679"/>
      <c r="D47" s="679"/>
      <c r="E47" s="679"/>
      <c r="F47" s="679"/>
      <c r="G47" s="822"/>
      <c r="I47" s="386" t="s">
        <v>844</v>
      </c>
      <c r="J47" s="542"/>
      <c r="K47" s="542"/>
      <c r="L47" s="617"/>
    </row>
    <row r="48" spans="1:25" ht="17.25" x14ac:dyDescent="0.25">
      <c r="A48" s="823"/>
      <c r="B48" s="824"/>
      <c r="C48" s="825"/>
      <c r="D48" s="138" t="s">
        <v>486</v>
      </c>
      <c r="E48" s="138" t="s">
        <v>850</v>
      </c>
      <c r="F48" s="138" t="s">
        <v>849</v>
      </c>
      <c r="G48" s="831"/>
      <c r="I48" s="211"/>
      <c r="J48" s="21" t="s">
        <v>486</v>
      </c>
      <c r="K48" s="21" t="s">
        <v>850</v>
      </c>
      <c r="L48" s="24" t="s">
        <v>849</v>
      </c>
    </row>
    <row r="49" spans="1:13" ht="15" customHeight="1" x14ac:dyDescent="0.25">
      <c r="A49" s="649" t="s">
        <v>842</v>
      </c>
      <c r="B49" s="550"/>
      <c r="C49" s="551"/>
      <c r="D49" s="212">
        <f>IF(F35=2,F38*F38,F38*G38)</f>
        <v>0</v>
      </c>
      <c r="E49" s="212">
        <f>IF(F35=2,(2*F38*F39),(F38*G39)+(F39*G38))</f>
        <v>0</v>
      </c>
      <c r="F49" s="212">
        <f>IF(F35=2,F39*F39,F39*G39)</f>
        <v>1</v>
      </c>
      <c r="G49" s="832"/>
      <c r="H49" s="27"/>
      <c r="I49" s="17" t="s">
        <v>842</v>
      </c>
      <c r="J49" s="1">
        <f>IF(F35=2,F38*F38,F38*G38)</f>
        <v>0</v>
      </c>
      <c r="K49" s="1">
        <f>IF(F35=2,(2*F38*F39),(F38*G39)+(F39*G38))</f>
        <v>0</v>
      </c>
      <c r="L49" s="19">
        <f>IF(F35=2,F39*F39,F39*G39)</f>
        <v>1</v>
      </c>
    </row>
    <row r="50" spans="1:13" x14ac:dyDescent="0.25">
      <c r="A50" s="819" t="s">
        <v>843</v>
      </c>
      <c r="B50" s="826"/>
      <c r="C50" s="827"/>
      <c r="D50" s="212">
        <f>D38*E38</f>
        <v>0</v>
      </c>
      <c r="E50" s="212">
        <f>IF(D38=0,E38*D39,IF(E38=0,D38*E39,(D38*E39+E38*D39)))</f>
        <v>1130</v>
      </c>
      <c r="F50" s="212">
        <f>D39*E39</f>
        <v>1</v>
      </c>
      <c r="G50" s="833"/>
      <c r="I50" s="210" t="s">
        <v>843</v>
      </c>
      <c r="J50" s="1">
        <f>D38*E38</f>
        <v>0</v>
      </c>
      <c r="K50" s="1">
        <f>IF(D38=0,E38*D39,IF(E38=0,D38*E39,(D38*E39+E38*D39)))</f>
        <v>1130</v>
      </c>
      <c r="L50" s="19">
        <f>D39*E39</f>
        <v>1</v>
      </c>
    </row>
    <row r="51" spans="1:13" x14ac:dyDescent="0.25">
      <c r="A51" s="678" t="s">
        <v>845</v>
      </c>
      <c r="B51" s="679"/>
      <c r="C51" s="679"/>
      <c r="D51" s="679"/>
      <c r="E51" s="679"/>
      <c r="F51" s="679"/>
      <c r="G51" s="822"/>
      <c r="H51" s="27"/>
      <c r="I51" s="386" t="s">
        <v>845</v>
      </c>
      <c r="J51" s="542"/>
      <c r="K51" s="542"/>
      <c r="L51" s="617"/>
    </row>
    <row r="52" spans="1:13" x14ac:dyDescent="0.25">
      <c r="A52" s="649" t="s">
        <v>855</v>
      </c>
      <c r="B52" s="550"/>
      <c r="C52" s="551"/>
      <c r="D52" s="212">
        <f>J49</f>
        <v>0</v>
      </c>
      <c r="E52" s="212">
        <f>K49</f>
        <v>0</v>
      </c>
      <c r="F52" s="212">
        <f>L49</f>
        <v>1</v>
      </c>
      <c r="G52" s="834"/>
      <c r="I52" s="17" t="s">
        <v>846</v>
      </c>
      <c r="J52" s="3">
        <f>J49</f>
        <v>0</v>
      </c>
      <c r="K52" s="3">
        <f t="shared" ref="K52:L52" si="0">K49</f>
        <v>0</v>
      </c>
      <c r="L52" s="31">
        <f t="shared" si="0"/>
        <v>1</v>
      </c>
    </row>
    <row r="53" spans="1:13" ht="15" customHeight="1" x14ac:dyDescent="0.25">
      <c r="A53" s="649" t="s">
        <v>856</v>
      </c>
      <c r="B53" s="550"/>
      <c r="C53" s="551"/>
      <c r="D53" s="212">
        <f>D44*J50</f>
        <v>0</v>
      </c>
      <c r="E53" s="212">
        <f>D44*K50</f>
        <v>5.8760000000000007E-2</v>
      </c>
      <c r="F53" s="212">
        <f>D44*L50</f>
        <v>5.2000000000000004E-5</v>
      </c>
      <c r="G53" s="835"/>
      <c r="I53" s="17" t="s">
        <v>847</v>
      </c>
      <c r="J53" s="3">
        <f>D44*J50</f>
        <v>0</v>
      </c>
      <c r="K53" s="3">
        <f>D44*K50</f>
        <v>5.8760000000000007E-2</v>
      </c>
      <c r="L53" s="31">
        <f>D44*L50</f>
        <v>5.2000000000000004E-5</v>
      </c>
    </row>
    <row r="54" spans="1:13" x14ac:dyDescent="0.25">
      <c r="A54" s="678" t="s">
        <v>848</v>
      </c>
      <c r="B54" s="679"/>
      <c r="C54" s="679"/>
      <c r="D54" s="679"/>
      <c r="E54" s="679"/>
      <c r="F54" s="679"/>
      <c r="G54" s="822"/>
      <c r="I54" s="386" t="s">
        <v>848</v>
      </c>
      <c r="J54" s="542"/>
      <c r="K54" s="542"/>
      <c r="L54" s="617"/>
    </row>
    <row r="55" spans="1:13" ht="17.25" x14ac:dyDescent="0.25">
      <c r="A55" s="649" t="s">
        <v>849</v>
      </c>
      <c r="B55" s="550"/>
      <c r="C55" s="551"/>
      <c r="D55" s="212">
        <f>L52-L53</f>
        <v>0.99994799999999995</v>
      </c>
      <c r="E55" s="836"/>
      <c r="F55" s="837"/>
      <c r="G55" s="831"/>
      <c r="I55" s="17" t="s">
        <v>849</v>
      </c>
      <c r="J55" s="3">
        <f>L52-L53</f>
        <v>0.99994799999999995</v>
      </c>
      <c r="K55" s="543"/>
      <c r="L55" s="618"/>
    </row>
    <row r="56" spans="1:13" x14ac:dyDescent="0.25">
      <c r="A56" s="649" t="s">
        <v>850</v>
      </c>
      <c r="B56" s="550"/>
      <c r="C56" s="551"/>
      <c r="D56" s="212">
        <f>K52-K53</f>
        <v>-5.8760000000000007E-2</v>
      </c>
      <c r="E56" s="838"/>
      <c r="F56" s="839"/>
      <c r="G56" s="832"/>
      <c r="H56" s="23"/>
      <c r="I56" s="17" t="s">
        <v>850</v>
      </c>
      <c r="J56" s="3">
        <f>K52-K53</f>
        <v>-5.8760000000000007E-2</v>
      </c>
      <c r="K56" s="619"/>
      <c r="L56" s="486"/>
    </row>
    <row r="57" spans="1:13" ht="15.75" thickBot="1" x14ac:dyDescent="0.3">
      <c r="A57" s="828" t="s">
        <v>486</v>
      </c>
      <c r="B57" s="829"/>
      <c r="C57" s="830"/>
      <c r="D57" s="212">
        <f>J52-J53</f>
        <v>0</v>
      </c>
      <c r="E57" s="840"/>
      <c r="F57" s="841"/>
      <c r="G57" s="833"/>
      <c r="H57" s="27"/>
      <c r="I57" s="15" t="s">
        <v>486</v>
      </c>
      <c r="J57" s="102">
        <f>J52-J53</f>
        <v>0</v>
      </c>
      <c r="K57" s="802"/>
      <c r="L57" s="489"/>
    </row>
    <row r="58" spans="1:13" s="27" customFormat="1" ht="17.25" x14ac:dyDescent="0.25">
      <c r="A58" s="539" t="s">
        <v>526</v>
      </c>
      <c r="B58" s="523"/>
      <c r="C58" s="523"/>
      <c r="D58" s="523"/>
      <c r="E58" s="523"/>
      <c r="F58" s="523"/>
      <c r="G58" s="541"/>
      <c r="H58"/>
      <c r="M58" s="176"/>
    </row>
    <row r="59" spans="1:13" s="27" customFormat="1" x14ac:dyDescent="0.25">
      <c r="A59" s="736" t="s">
        <v>488</v>
      </c>
      <c r="B59" s="765"/>
      <c r="C59" s="114">
        <f>D55</f>
        <v>0.99994799999999995</v>
      </c>
      <c r="D59" s="381" t="s">
        <v>524</v>
      </c>
      <c r="E59" s="381"/>
      <c r="F59" s="3">
        <f>(-C60+SQRT(C60^2-4*C59*C61))/(2*C59)</f>
        <v>5.876305567889531E-2</v>
      </c>
      <c r="G59" s="741"/>
      <c r="M59" s="176"/>
    </row>
    <row r="60" spans="1:13" s="27" customFormat="1" x14ac:dyDescent="0.25">
      <c r="A60" s="366" t="s">
        <v>489</v>
      </c>
      <c r="B60" s="367"/>
      <c r="C60" s="114">
        <f>D56</f>
        <v>-5.8760000000000007E-2</v>
      </c>
      <c r="D60" s="381" t="s">
        <v>525</v>
      </c>
      <c r="E60" s="381"/>
      <c r="F60" s="381"/>
      <c r="G60" s="741"/>
      <c r="H60"/>
      <c r="I60"/>
      <c r="J60"/>
      <c r="K60"/>
      <c r="L60"/>
      <c r="M60" s="176"/>
    </row>
    <row r="61" spans="1:13" s="27" customFormat="1" x14ac:dyDescent="0.25">
      <c r="A61" s="366" t="s">
        <v>486</v>
      </c>
      <c r="B61" s="367"/>
      <c r="C61" s="114">
        <f>D57</f>
        <v>0</v>
      </c>
      <c r="D61" s="381" t="s">
        <v>524</v>
      </c>
      <c r="E61" s="381"/>
      <c r="F61" s="3">
        <f>(-C60-SQRT(C60^2-4*C59*C61))/(2*C59)</f>
        <v>0</v>
      </c>
      <c r="G61" s="741"/>
      <c r="M61" s="176"/>
    </row>
    <row r="62" spans="1:13" s="27" customFormat="1" x14ac:dyDescent="0.25">
      <c r="A62" s="539" t="s">
        <v>529</v>
      </c>
      <c r="B62" s="523"/>
      <c r="C62" s="523"/>
      <c r="D62" s="523"/>
      <c r="E62" s="523"/>
      <c r="F62" s="523"/>
      <c r="G62" s="541"/>
      <c r="M62" s="176"/>
    </row>
    <row r="63" spans="1:13" s="27" customFormat="1" ht="18" x14ac:dyDescent="0.25">
      <c r="A63" s="380" t="s">
        <v>497</v>
      </c>
      <c r="B63" s="381"/>
      <c r="C63" s="381"/>
      <c r="D63" s="138" t="s">
        <v>557</v>
      </c>
      <c r="E63" s="138" t="s">
        <v>558</v>
      </c>
      <c r="F63" s="138" t="s">
        <v>559</v>
      </c>
      <c r="G63" s="143" t="s">
        <v>560</v>
      </c>
      <c r="K63"/>
      <c r="L63"/>
      <c r="M63" s="176"/>
    </row>
    <row r="64" spans="1:13" s="27" customFormat="1" x14ac:dyDescent="0.25">
      <c r="A64" s="380"/>
      <c r="B64" s="381"/>
      <c r="C64" s="381"/>
      <c r="D64" s="117" t="str">
        <f>D34</f>
        <v>HBrO</v>
      </c>
      <c r="E64" s="3" t="str">
        <f>E34</f>
        <v>H2O</v>
      </c>
      <c r="F64" s="3" t="str">
        <f>F34</f>
        <v>H3O</v>
      </c>
      <c r="G64" s="31" t="str">
        <f>G34</f>
        <v>BrO-</v>
      </c>
      <c r="K64"/>
      <c r="L64"/>
      <c r="M64" s="176"/>
    </row>
    <row r="65" spans="1:16" s="27" customFormat="1" x14ac:dyDescent="0.25">
      <c r="A65" s="430" t="s">
        <v>532</v>
      </c>
      <c r="B65" s="431"/>
      <c r="C65" s="432"/>
      <c r="D65" s="3">
        <f>D39</f>
        <v>1</v>
      </c>
      <c r="E65" s="3">
        <f>E39</f>
        <v>1</v>
      </c>
      <c r="F65" s="3">
        <f>F39</f>
        <v>-1</v>
      </c>
      <c r="G65" s="31">
        <f>G39</f>
        <v>-1</v>
      </c>
      <c r="K65"/>
      <c r="L65"/>
      <c r="M65" s="176"/>
    </row>
    <row r="66" spans="1:16" s="27" customFormat="1" ht="17.25" x14ac:dyDescent="0.25">
      <c r="A66" s="336" t="s">
        <v>530</v>
      </c>
      <c r="B66" s="337"/>
      <c r="C66" s="337"/>
      <c r="D66" s="3">
        <f>D38+$F$59*D65</f>
        <v>1130.0587630556788</v>
      </c>
      <c r="E66" s="3">
        <f>E38+$F$59*E65</f>
        <v>5.876305567889531E-2</v>
      </c>
      <c r="F66" s="3">
        <f>F38+$F$59*F65</f>
        <v>-5.876305567889531E-2</v>
      </c>
      <c r="G66" s="31">
        <f>G38+$F$59*G65</f>
        <v>-5.876305567889531E-2</v>
      </c>
      <c r="K66"/>
      <c r="L66"/>
      <c r="M66" s="176"/>
    </row>
    <row r="67" spans="1:16" s="27" customFormat="1" ht="17.25" x14ac:dyDescent="0.25">
      <c r="A67" s="366" t="s">
        <v>531</v>
      </c>
      <c r="B67" s="367"/>
      <c r="C67" s="367"/>
      <c r="D67" s="3">
        <f>D38+$F$61*D65</f>
        <v>1130</v>
      </c>
      <c r="E67" s="3">
        <f>E38+$F$61*E65</f>
        <v>0</v>
      </c>
      <c r="F67" s="3">
        <f>F38+$F$61*F65</f>
        <v>0</v>
      </c>
      <c r="G67" s="31">
        <f>G38+$F$61*G35</f>
        <v>0</v>
      </c>
      <c r="K67"/>
      <c r="L67"/>
      <c r="M67" s="176"/>
      <c r="N67" s="176"/>
      <c r="O67" s="177"/>
      <c r="P67" s="177"/>
    </row>
    <row r="68" spans="1:16" s="27" customFormat="1" x14ac:dyDescent="0.25">
      <c r="A68" s="366" t="s">
        <v>528</v>
      </c>
      <c r="B68" s="367"/>
      <c r="C68" s="367"/>
      <c r="D68" s="554" t="s">
        <v>6</v>
      </c>
      <c r="E68" s="555"/>
      <c r="F68" s="624"/>
      <c r="G68" s="625"/>
      <c r="K68" s="66"/>
      <c r="L68" s="66"/>
      <c r="M68" s="176"/>
      <c r="N68" s="176"/>
      <c r="O68" s="177"/>
      <c r="P68" s="177"/>
    </row>
    <row r="69" spans="1:16" s="27" customFormat="1" ht="15.75" thickBot="1" x14ac:dyDescent="0.3">
      <c r="A69" s="357" t="s">
        <v>527</v>
      </c>
      <c r="B69" s="358"/>
      <c r="C69" s="358"/>
      <c r="D69" s="465">
        <f>IF(AND(COUNTIF(D66:G66,"&lt;0"),COUNTIF(D67:G67,"&lt;0")),"Check Input",
IF(AND(OR(D68="A",D68="[A]"),COUNTIF(D66:G66,"&lt;0")),D67,
IF(AND(OR(D68="A",D68="[A]"),COUNTIF(D67:G67,"&lt;0")),D66,
IF(AND(OR(D68="B",D68="[B]"),COUNTIF(D66:G66,"&lt;0")),E67,
IF(AND(OR(D68="B",D68="[B]"),COUNTIF(D67:G67,"&lt;0")),E66,
IF(AND(OR(D68="C",D68="[C]"),COUNTIF(D66:G66,"&lt;0")),F67,
IF(AND(OR(D68="C",D68="[C]"),COUNTIF(D67:G67,"&lt;0")),F66,
IF(AND(OR(D68="D",D68="[D]"),COUNTIF(D66:G66,"&lt;0")),G67,
IF(AND(OR(D68="D",D68="[D]"),COUNTIF(D67:G67,"&lt;0")),G66)))))))))</f>
        <v>0</v>
      </c>
      <c r="E69" s="465"/>
      <c r="F69" s="465" t="str">
        <f>TEXT(D69,"0.00E+00")</f>
        <v>0.00E+00</v>
      </c>
      <c r="G69" s="662"/>
      <c r="K69" s="66"/>
      <c r="L69" s="66"/>
      <c r="M69" s="176"/>
      <c r="N69" s="176"/>
      <c r="O69" s="177"/>
      <c r="P69" s="177"/>
    </row>
    <row r="70" spans="1:16" s="27" customFormat="1" ht="15.75" thickBot="1" x14ac:dyDescent="0.3">
      <c r="A70" s="209"/>
      <c r="B70" s="68"/>
      <c r="C70" s="68"/>
      <c r="D70" s="68"/>
      <c r="E70" s="68"/>
      <c r="F70" s="68"/>
      <c r="G70" s="68"/>
      <c r="K70" s="66"/>
      <c r="L70" s="66"/>
      <c r="M70" s="176"/>
      <c r="N70" s="176"/>
      <c r="O70" s="177"/>
      <c r="P70" s="177"/>
    </row>
    <row r="71" spans="1:16" s="27" customFormat="1" ht="18.75" thickBot="1" x14ac:dyDescent="0.4">
      <c r="A71" s="388" t="s">
        <v>544</v>
      </c>
      <c r="B71" s="389"/>
      <c r="C71" s="389"/>
      <c r="D71" s="389"/>
      <c r="E71" s="389"/>
      <c r="F71" s="389"/>
      <c r="G71" s="390"/>
      <c r="K71" s="67"/>
      <c r="L71" s="67"/>
      <c r="M71" s="176"/>
      <c r="N71" s="176"/>
      <c r="O71" s="177"/>
      <c r="P71" s="177"/>
    </row>
    <row r="72" spans="1:16" s="27" customFormat="1" ht="15.75" thickBot="1" x14ac:dyDescent="0.3">
      <c r="A72" s="366" t="s">
        <v>542</v>
      </c>
      <c r="B72" s="367"/>
      <c r="C72" s="367"/>
      <c r="D72" s="367"/>
      <c r="E72" s="367"/>
      <c r="F72" s="367"/>
      <c r="G72" s="368"/>
      <c r="H72"/>
      <c r="L72" s="342" t="s">
        <v>861</v>
      </c>
      <c r="M72" s="343"/>
      <c r="N72" s="343"/>
      <c r="O72" s="343"/>
      <c r="P72" s="344"/>
    </row>
    <row r="73" spans="1:16" s="27" customFormat="1" x14ac:dyDescent="0.25">
      <c r="A73" s="552" t="s">
        <v>511</v>
      </c>
      <c r="B73" s="553"/>
      <c r="C73" s="553"/>
      <c r="D73" s="553"/>
      <c r="E73" s="553"/>
      <c r="F73" s="553"/>
      <c r="G73" s="768"/>
      <c r="H73"/>
      <c r="L73" s="621" t="s">
        <v>862</v>
      </c>
      <c r="M73" s="622"/>
      <c r="N73" s="622"/>
      <c r="O73" s="622"/>
      <c r="P73" s="623"/>
    </row>
    <row r="74" spans="1:16" s="27" customFormat="1" ht="15.75" thickBot="1" x14ac:dyDescent="0.3">
      <c r="A74" s="357" t="s">
        <v>561</v>
      </c>
      <c r="B74" s="358"/>
      <c r="C74" s="358"/>
      <c r="D74" s="358"/>
      <c r="E74" s="358"/>
      <c r="F74" s="358"/>
      <c r="G74" s="359"/>
      <c r="L74" s="366"/>
      <c r="M74" s="367"/>
      <c r="N74" s="367"/>
      <c r="O74" s="367"/>
      <c r="P74" s="368"/>
    </row>
    <row r="75" spans="1:16" s="27" customFormat="1" x14ac:dyDescent="0.25">
      <c r="A75" s="421" t="s">
        <v>505</v>
      </c>
      <c r="B75" s="422"/>
      <c r="C75" s="422"/>
      <c r="D75" s="422"/>
      <c r="E75" s="422"/>
      <c r="F75" s="422"/>
      <c r="G75" s="540"/>
      <c r="H75"/>
      <c r="L75" s="366"/>
      <c r="M75" s="367"/>
      <c r="N75" s="367"/>
      <c r="O75" s="367"/>
      <c r="P75" s="368"/>
    </row>
    <row r="76" spans="1:16" s="27" customFormat="1" x14ac:dyDescent="0.25">
      <c r="A76" s="363" t="s">
        <v>553</v>
      </c>
      <c r="B76" s="364"/>
      <c r="C76" s="364"/>
      <c r="D76" s="101">
        <v>1</v>
      </c>
      <c r="E76" s="136" t="s">
        <v>541</v>
      </c>
      <c r="F76" s="101" t="s">
        <v>858</v>
      </c>
      <c r="G76" s="103"/>
      <c r="H76"/>
      <c r="L76" s="621" t="s">
        <v>1317</v>
      </c>
      <c r="M76" s="622"/>
      <c r="N76" s="622"/>
      <c r="O76" s="622"/>
      <c r="P76" s="623"/>
    </row>
    <row r="77" spans="1:16" ht="18" x14ac:dyDescent="0.25">
      <c r="A77" s="861" t="s">
        <v>497</v>
      </c>
      <c r="B77" s="685"/>
      <c r="C77" s="862"/>
      <c r="D77" s="138" t="s">
        <v>557</v>
      </c>
      <c r="E77" s="138" t="s">
        <v>558</v>
      </c>
      <c r="F77" s="138" t="s">
        <v>559</v>
      </c>
      <c r="G77" s="143" t="s">
        <v>560</v>
      </c>
      <c r="L77" s="366"/>
      <c r="M77" s="367"/>
      <c r="N77" s="367"/>
      <c r="O77" s="367"/>
      <c r="P77" s="368"/>
    </row>
    <row r="78" spans="1:16" x14ac:dyDescent="0.25">
      <c r="A78" s="863"/>
      <c r="B78" s="687"/>
      <c r="C78" s="864"/>
      <c r="D78" s="144" t="s">
        <v>966</v>
      </c>
      <c r="E78" s="144" t="s">
        <v>1316</v>
      </c>
      <c r="F78" s="144" t="s">
        <v>1412</v>
      </c>
      <c r="G78" s="75" t="s">
        <v>1413</v>
      </c>
      <c r="L78" s="366"/>
      <c r="M78" s="367"/>
      <c r="N78" s="367"/>
      <c r="O78" s="367"/>
      <c r="P78" s="368"/>
    </row>
    <row r="79" spans="1:16" ht="15.75" thickBot="1" x14ac:dyDescent="0.3">
      <c r="A79" s="649" t="s">
        <v>523</v>
      </c>
      <c r="B79" s="550"/>
      <c r="C79" s="551"/>
      <c r="D79" s="144">
        <v>1</v>
      </c>
      <c r="E79" s="144">
        <v>1</v>
      </c>
      <c r="F79" s="144">
        <v>1</v>
      </c>
      <c r="G79" s="75">
        <v>1</v>
      </c>
      <c r="L79" s="386" t="s">
        <v>863</v>
      </c>
      <c r="M79" s="542"/>
      <c r="N79" s="542"/>
      <c r="O79" s="542"/>
      <c r="P79" s="617"/>
    </row>
    <row r="80" spans="1:16" x14ac:dyDescent="0.25">
      <c r="A80" s="879" t="s">
        <v>549</v>
      </c>
      <c r="B80" s="820"/>
      <c r="C80" s="880"/>
      <c r="D80" s="881">
        <f>IF((OR($C$81="A",$C$81="[A]")),D79/$D$79,
IF((OR($C$81="B",$C$81="[B]")),D79/$E$79,
IF((OR($C$81="C",$C$81="[C]")),D79/$F$79,
IF((OR($C$81="D",$C$81="[D]")),D79/$G$79))))</f>
        <v>1</v>
      </c>
      <c r="E80" s="881">
        <f>IF((OR($C$81="A",$C$81="[A]")),E79/$D$79,
IF((OR($C$81="B",$C$81="[B]")),E79/$E$79,
IF((OR($C$81="C",$C$81="[C]")),E79/$F$79,
IF((OR($C$81="D",$C$81="[D]")),E79/$G$79))))</f>
        <v>1</v>
      </c>
      <c r="F80" s="881">
        <f>IF((OR($C$81="A",$C$81="[A]")),F79/$D$79,
IF((OR($C$81="B",$C$81="[B]")),F79/$E$79,
IF((OR($C$81="C",$C$81="[C]")),F79/$F$79,
IF((OR($C$81="D",$C$81="[D]")),F79/$G$79))))</f>
        <v>1</v>
      </c>
      <c r="G80" s="883">
        <f>IF((OR($C$81="A",$C$81="[A]")),G79/$D$79,
IF((OR($C$81="B",$C$81="[B]")),G79/$E$79,
IF((OR($C$81="C",$C$81="[C]")),G79/$F$79,
IF((OR($C$81="D",$C$81="[D]")),G79/$G$79))))</f>
        <v>1</v>
      </c>
      <c r="H80" s="370" t="s">
        <v>865</v>
      </c>
      <c r="I80" s="370"/>
      <c r="J80" s="371"/>
      <c r="L80" s="366"/>
      <c r="M80" s="367"/>
      <c r="N80" s="367"/>
      <c r="O80" s="367"/>
      <c r="P80" s="368"/>
    </row>
    <row r="81" spans="1:16" ht="15.75" thickBot="1" x14ac:dyDescent="0.3">
      <c r="A81" s="649" t="s">
        <v>548</v>
      </c>
      <c r="B81" s="550"/>
      <c r="C81" s="139" t="s">
        <v>1</v>
      </c>
      <c r="D81" s="882"/>
      <c r="E81" s="882"/>
      <c r="F81" s="882"/>
      <c r="G81" s="884"/>
      <c r="H81" s="373"/>
      <c r="I81" s="373"/>
      <c r="J81" s="374"/>
      <c r="L81" s="552"/>
      <c r="M81" s="553"/>
      <c r="N81" s="553"/>
      <c r="O81" s="553"/>
      <c r="P81" s="768"/>
    </row>
    <row r="82" spans="1:16" x14ac:dyDescent="0.25">
      <c r="A82" s="366" t="s">
        <v>495</v>
      </c>
      <c r="B82" s="367"/>
      <c r="C82" s="367"/>
      <c r="D82" s="144">
        <f>5.2*10^-5</f>
        <v>5.2000000000000004E-5</v>
      </c>
      <c r="E82" s="144">
        <v>0</v>
      </c>
      <c r="F82" s="138">
        <v>0</v>
      </c>
      <c r="G82" s="143">
        <v>0</v>
      </c>
      <c r="H82" s="370" t="s">
        <v>752</v>
      </c>
      <c r="I82" s="370"/>
      <c r="J82" s="371"/>
      <c r="L82" s="386" t="s">
        <v>864</v>
      </c>
      <c r="M82" s="542"/>
      <c r="N82" s="542"/>
      <c r="O82" s="542"/>
      <c r="P82" s="617"/>
    </row>
    <row r="83" spans="1:16" x14ac:dyDescent="0.25">
      <c r="A83" s="366" t="s">
        <v>509</v>
      </c>
      <c r="B83" s="367"/>
      <c r="C83" s="367"/>
      <c r="D83" s="140">
        <f>D82/$D$76</f>
        <v>5.2000000000000004E-5</v>
      </c>
      <c r="E83" s="140">
        <f>E82/$D$76</f>
        <v>0</v>
      </c>
      <c r="F83" s="140">
        <f>F82/$D$76</f>
        <v>0</v>
      </c>
      <c r="G83" s="141">
        <f>G82/$D$76</f>
        <v>0</v>
      </c>
      <c r="H83" s="901"/>
      <c r="I83" s="901"/>
      <c r="J83" s="902"/>
      <c r="L83" s="366"/>
      <c r="M83" s="367"/>
      <c r="N83" s="367"/>
      <c r="O83" s="367"/>
      <c r="P83" s="368"/>
    </row>
    <row r="84" spans="1:16" ht="15.75" thickBot="1" x14ac:dyDescent="0.3">
      <c r="A84" s="366" t="s">
        <v>510</v>
      </c>
      <c r="B84" s="367"/>
      <c r="C84" s="367"/>
      <c r="D84" s="140">
        <f>IF($F$76="ml",D83*1000,IF($F$76="L",D83))</f>
        <v>5.2000000000000004E-5</v>
      </c>
      <c r="E84" s="140">
        <f>IF($F$76="ml",E83*1000,IF($F$76="L",E83))</f>
        <v>0</v>
      </c>
      <c r="F84" s="140">
        <f>IF($F$76="ml",F83*1000,IF($F$76="L",F83))</f>
        <v>0</v>
      </c>
      <c r="G84" s="141">
        <f>IF($F$76="ml",G83*1000,IF($F$76="L",G83))</f>
        <v>0</v>
      </c>
      <c r="H84" s="373"/>
      <c r="I84" s="373"/>
      <c r="J84" s="374"/>
      <c r="L84" s="357"/>
      <c r="M84" s="358"/>
      <c r="N84" s="358"/>
      <c r="O84" s="358"/>
      <c r="P84" s="359"/>
    </row>
    <row r="85" spans="1:16" x14ac:dyDescent="0.25">
      <c r="A85" s="366" t="s">
        <v>552</v>
      </c>
      <c r="B85" s="367"/>
      <c r="C85" s="367"/>
      <c r="D85" s="153" t="s">
        <v>540</v>
      </c>
      <c r="E85" s="153" t="s">
        <v>540</v>
      </c>
      <c r="F85" s="153" t="s">
        <v>372</v>
      </c>
      <c r="G85" s="156" t="s">
        <v>372</v>
      </c>
      <c r="H85" s="175"/>
      <c r="I85" s="175"/>
    </row>
    <row r="86" spans="1:16" x14ac:dyDescent="0.25">
      <c r="A86" s="885" t="s">
        <v>545</v>
      </c>
      <c r="B86" s="886"/>
      <c r="C86" s="887"/>
      <c r="D86" s="891" t="str">
        <f>CONCATENATE(D84," + ",D80,D85)</f>
        <v>0.000052 + 1(-x)</v>
      </c>
      <c r="E86" s="891" t="str">
        <f>CONCATENATE(E84," + ",E80,E85)</f>
        <v>0 + 1(-x)</v>
      </c>
      <c r="F86" s="891" t="str">
        <f>CONCATENATE(F84," + ",F80,F85)</f>
        <v>0 + 1x</v>
      </c>
      <c r="G86" s="899" t="str">
        <f>CONCATENATE(G84," + ",G80,G85)</f>
        <v>0 + 1x</v>
      </c>
      <c r="H86" s="27"/>
      <c r="I86" s="27"/>
      <c r="J86" s="27"/>
    </row>
    <row r="87" spans="1:16" ht="18" customHeight="1" thickBot="1" x14ac:dyDescent="0.3">
      <c r="A87" s="888"/>
      <c r="B87" s="889"/>
      <c r="C87" s="890"/>
      <c r="D87" s="892"/>
      <c r="E87" s="892"/>
      <c r="F87" s="892"/>
      <c r="G87" s="900"/>
    </row>
    <row r="88" spans="1:16" ht="16.5" customHeight="1" thickBot="1" x14ac:dyDescent="0.3">
      <c r="A88" s="876" t="s">
        <v>547</v>
      </c>
      <c r="B88" s="877"/>
      <c r="C88" s="878"/>
      <c r="D88" s="144">
        <v>2.2999999999999998</v>
      </c>
      <c r="E88" s="495" t="s">
        <v>550</v>
      </c>
      <c r="F88" s="495"/>
      <c r="G88" s="150">
        <f>IF(F76="L",D88/D76,
IF(F76="ml",D88/D76*1000))</f>
        <v>2.2999999999999998</v>
      </c>
      <c r="H88" s="897" t="s">
        <v>834</v>
      </c>
      <c r="I88" s="897"/>
      <c r="J88" s="898"/>
    </row>
    <row r="89" spans="1:16" x14ac:dyDescent="0.25">
      <c r="A89" s="868" t="s">
        <v>546</v>
      </c>
      <c r="B89" s="535"/>
      <c r="C89" s="535"/>
      <c r="D89" s="151">
        <f>IF(D85="(-x)",D84-D80*$G$88,
IF(D85=(OR("",0)),"",
D84+D80*$G$88))</f>
        <v>-2.2999479999999997</v>
      </c>
      <c r="E89" s="151">
        <f>IF(E85="(-x)",E84-E80*$G$88,
IF(E85=(OR("",0)),"",
E84+E80*$G$88))</f>
        <v>-2.2999999999999998</v>
      </c>
      <c r="F89" s="151">
        <f>IF(F85="(-x)",F84-F80*$G$88,
IF(F85=(OR("",0)),"",
F84+F80*$G$88))</f>
        <v>2.2999999999999998</v>
      </c>
      <c r="G89" s="152">
        <f>IF(G85="(-x)",G84-G80*$G$88,
IF(G85=(OR("",0)),"",
G84+G80*$G$88))</f>
        <v>2.2999999999999998</v>
      </c>
    </row>
    <row r="90" spans="1:16" ht="18.75" thickBot="1" x14ac:dyDescent="0.4">
      <c r="A90" s="761" t="s">
        <v>551</v>
      </c>
      <c r="B90" s="762"/>
      <c r="C90" s="762"/>
      <c r="D90" s="893">
        <f>((IF(F79=0,1,F89^F79))*(IF(G79=0,1,G89^G79)))/((IF(D79=0,1,D89^D79))*(IF(E79=0,1,E89^E79)))</f>
        <v>1.000022609206817</v>
      </c>
      <c r="E90" s="894"/>
      <c r="F90" s="895">
        <f>D90</f>
        <v>1.000022609206817</v>
      </c>
      <c r="G90" s="896"/>
    </row>
    <row r="91" spans="1:16" x14ac:dyDescent="0.25">
      <c r="A91" s="27"/>
      <c r="B91" s="27"/>
      <c r="C91" s="27"/>
      <c r="D91" s="27"/>
      <c r="E91" s="27"/>
      <c r="F91" s="27"/>
      <c r="G91" s="27"/>
    </row>
    <row r="92" spans="1:16" ht="18" customHeight="1" x14ac:dyDescent="0.25"/>
    <row r="100" spans="1:17" x14ac:dyDescent="0.25">
      <c r="K100" s="27"/>
    </row>
    <row r="102" spans="1:17" x14ac:dyDescent="0.25">
      <c r="H102" s="27"/>
      <c r="I102" s="27"/>
      <c r="J102" s="27"/>
    </row>
    <row r="103" spans="1:17" x14ac:dyDescent="0.25">
      <c r="K103" s="27"/>
      <c r="L103" s="27"/>
      <c r="M103" s="27"/>
    </row>
    <row r="104" spans="1:17" s="27" customForma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25">
      <c r="H105" s="27"/>
      <c r="I105" s="27"/>
      <c r="J105" s="27"/>
      <c r="Q105" s="27"/>
    </row>
    <row r="106" spans="1:17" ht="15" customHeight="1" x14ac:dyDescent="0.25">
      <c r="L106" s="27"/>
      <c r="M106" s="27"/>
    </row>
    <row r="107" spans="1:17" s="27" customFormat="1" ht="1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25">
      <c r="N108" s="27"/>
      <c r="O108" s="27"/>
      <c r="P108" s="27"/>
      <c r="Q108" s="27"/>
    </row>
    <row r="111" spans="1:17" x14ac:dyDescent="0.25">
      <c r="N111" s="27"/>
      <c r="O111" s="27"/>
      <c r="P111" s="27"/>
    </row>
    <row r="119" spans="1:7" x14ac:dyDescent="0.25">
      <c r="A119" s="27"/>
      <c r="B119" s="27"/>
      <c r="C119" s="27"/>
      <c r="D119" s="27"/>
      <c r="E119" s="27"/>
      <c r="F119" s="27"/>
      <c r="G119" s="27"/>
    </row>
    <row r="122" spans="1:7" x14ac:dyDescent="0.25">
      <c r="A122" s="27"/>
      <c r="B122" s="27"/>
      <c r="C122" s="27"/>
      <c r="D122" s="27"/>
      <c r="E122" s="27"/>
      <c r="F122" s="27"/>
      <c r="G122" s="27"/>
    </row>
  </sheetData>
  <mergeCells count="162">
    <mergeCell ref="L73:P73"/>
    <mergeCell ref="L72:P72"/>
    <mergeCell ref="L74:P75"/>
    <mergeCell ref="L80:P81"/>
    <mergeCell ref="L82:P82"/>
    <mergeCell ref="L83:P84"/>
    <mergeCell ref="E88:F88"/>
    <mergeCell ref="D90:E90"/>
    <mergeCell ref="F90:G90"/>
    <mergeCell ref="L79:P79"/>
    <mergeCell ref="H88:J88"/>
    <mergeCell ref="G86:G87"/>
    <mergeCell ref="H80:J81"/>
    <mergeCell ref="H82:J84"/>
    <mergeCell ref="F80:F81"/>
    <mergeCell ref="L76:P76"/>
    <mergeCell ref="L77:P78"/>
    <mergeCell ref="A90:C90"/>
    <mergeCell ref="A71:G71"/>
    <mergeCell ref="A72:G72"/>
    <mergeCell ref="A73:G73"/>
    <mergeCell ref="A74:G74"/>
    <mergeCell ref="A88:C88"/>
    <mergeCell ref="A89:C89"/>
    <mergeCell ref="A83:C83"/>
    <mergeCell ref="A84:C84"/>
    <mergeCell ref="A85:C85"/>
    <mergeCell ref="A75:G75"/>
    <mergeCell ref="A76:C76"/>
    <mergeCell ref="A77:C78"/>
    <mergeCell ref="A82:C82"/>
    <mergeCell ref="A79:C79"/>
    <mergeCell ref="A80:C80"/>
    <mergeCell ref="A81:B81"/>
    <mergeCell ref="D80:D81"/>
    <mergeCell ref="E80:E81"/>
    <mergeCell ref="G80:G81"/>
    <mergeCell ref="A86:C87"/>
    <mergeCell ref="D86:D87"/>
    <mergeCell ref="E86:E87"/>
    <mergeCell ref="F86:F87"/>
    <mergeCell ref="A1:E1"/>
    <mergeCell ref="A2:E2"/>
    <mergeCell ref="A3:E3"/>
    <mergeCell ref="A25:G25"/>
    <mergeCell ref="A12:B12"/>
    <mergeCell ref="C12:D12"/>
    <mergeCell ref="A6:E6"/>
    <mergeCell ref="A5:G5"/>
    <mergeCell ref="A7:B7"/>
    <mergeCell ref="D7:E7"/>
    <mergeCell ref="F7:G7"/>
    <mergeCell ref="F8:G9"/>
    <mergeCell ref="F12:G12"/>
    <mergeCell ref="F6:G6"/>
    <mergeCell ref="F10:G11"/>
    <mergeCell ref="A14:K14"/>
    <mergeCell ref="F19:G19"/>
    <mergeCell ref="A19:B19"/>
    <mergeCell ref="J19:K20"/>
    <mergeCell ref="A17:G17"/>
    <mergeCell ref="H17:I18"/>
    <mergeCell ref="J17:K18"/>
    <mergeCell ref="D19:E19"/>
    <mergeCell ref="D20:E20"/>
    <mergeCell ref="A26:G26"/>
    <mergeCell ref="A27:G27"/>
    <mergeCell ref="A31:G31"/>
    <mergeCell ref="A38:C38"/>
    <mergeCell ref="A36:C36"/>
    <mergeCell ref="J21:K22"/>
    <mergeCell ref="A44:C44"/>
    <mergeCell ref="A33:C34"/>
    <mergeCell ref="A35:C35"/>
    <mergeCell ref="D21:E21"/>
    <mergeCell ref="D22:E22"/>
    <mergeCell ref="D23:E23"/>
    <mergeCell ref="A30:G30"/>
    <mergeCell ref="D44:G44"/>
    <mergeCell ref="A28:G28"/>
    <mergeCell ref="X26:Y26"/>
    <mergeCell ref="X31:Y31"/>
    <mergeCell ref="X32:Y32"/>
    <mergeCell ref="X33:Y33"/>
    <mergeCell ref="U31:W31"/>
    <mergeCell ref="U32:W32"/>
    <mergeCell ref="U33:W33"/>
    <mergeCell ref="N14:T14"/>
    <mergeCell ref="X34:Y34"/>
    <mergeCell ref="N17:Y17"/>
    <mergeCell ref="N18:Y18"/>
    <mergeCell ref="U23:W23"/>
    <mergeCell ref="U25:W25"/>
    <mergeCell ref="U26:W26"/>
    <mergeCell ref="U24:W24"/>
    <mergeCell ref="X23:Y23"/>
    <mergeCell ref="X24:Y24"/>
    <mergeCell ref="X25:Y25"/>
    <mergeCell ref="U34:W34"/>
    <mergeCell ref="N15:T15"/>
    <mergeCell ref="N6:T6"/>
    <mergeCell ref="N5:T5"/>
    <mergeCell ref="N12:T12"/>
    <mergeCell ref="N11:T11"/>
    <mergeCell ref="N10:T10"/>
    <mergeCell ref="N9:T9"/>
    <mergeCell ref="N8:T8"/>
    <mergeCell ref="N7:T7"/>
    <mergeCell ref="J23:K23"/>
    <mergeCell ref="N13:T13"/>
    <mergeCell ref="A15:K15"/>
    <mergeCell ref="D18:E18"/>
    <mergeCell ref="F18:G18"/>
    <mergeCell ref="A16:K16"/>
    <mergeCell ref="A18:C18"/>
    <mergeCell ref="D61:E61"/>
    <mergeCell ref="A58:G58"/>
    <mergeCell ref="A42:C43"/>
    <mergeCell ref="A46:G46"/>
    <mergeCell ref="A47:G47"/>
    <mergeCell ref="A49:C49"/>
    <mergeCell ref="A48:C48"/>
    <mergeCell ref="A50:C50"/>
    <mergeCell ref="A51:G51"/>
    <mergeCell ref="A52:C52"/>
    <mergeCell ref="A53:C53"/>
    <mergeCell ref="A54:G54"/>
    <mergeCell ref="A55:C55"/>
    <mergeCell ref="A57:C57"/>
    <mergeCell ref="G48:G50"/>
    <mergeCell ref="G52:G53"/>
    <mergeCell ref="E55:G57"/>
    <mergeCell ref="D59:E59"/>
    <mergeCell ref="D60:F60"/>
    <mergeCell ref="G59:G61"/>
    <mergeCell ref="A59:B59"/>
    <mergeCell ref="A60:B60"/>
    <mergeCell ref="A61:B61"/>
    <mergeCell ref="A62:G62"/>
    <mergeCell ref="A63:C64"/>
    <mergeCell ref="A66:C66"/>
    <mergeCell ref="A67:C67"/>
    <mergeCell ref="A65:C65"/>
    <mergeCell ref="A68:C68"/>
    <mergeCell ref="A69:C69"/>
    <mergeCell ref="D69:E69"/>
    <mergeCell ref="F69:G69"/>
    <mergeCell ref="F68:G68"/>
    <mergeCell ref="D68:E68"/>
    <mergeCell ref="I45:L46"/>
    <mergeCell ref="I47:L47"/>
    <mergeCell ref="I51:L51"/>
    <mergeCell ref="I54:L54"/>
    <mergeCell ref="K55:L57"/>
    <mergeCell ref="A39:C40"/>
    <mergeCell ref="A29:G29"/>
    <mergeCell ref="D42:G43"/>
    <mergeCell ref="A45:G45"/>
    <mergeCell ref="A56:C56"/>
    <mergeCell ref="A41:C41"/>
    <mergeCell ref="A32:C32"/>
    <mergeCell ref="A37:C37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3CFA-BD80-4572-B051-BFE337355253}">
  <dimension ref="A1:AC92"/>
  <sheetViews>
    <sheetView workbookViewId="0">
      <selection activeCell="I38" sqref="I38"/>
    </sheetView>
  </sheetViews>
  <sheetFormatPr defaultRowHeight="15" x14ac:dyDescent="0.25"/>
  <cols>
    <col min="3" max="3" width="12" bestFit="1" customWidth="1"/>
    <col min="7" max="7" width="11" customWidth="1"/>
    <col min="8" max="8" width="9.140625" style="27"/>
    <col min="9" max="9" width="12" style="27" bestFit="1" customWidth="1"/>
    <col min="10" max="11" width="9.140625" style="27"/>
    <col min="23" max="23" width="10.7109375" bestFit="1" customWidth="1"/>
  </cols>
  <sheetData>
    <row r="1" spans="1:29" s="27" customFormat="1" ht="15.75" thickBot="1" x14ac:dyDescent="0.3">
      <c r="A1" s="463" t="s">
        <v>51</v>
      </c>
      <c r="B1" s="463"/>
      <c r="C1" s="463"/>
      <c r="D1" s="463"/>
      <c r="E1" s="463"/>
    </row>
    <row r="2" spans="1:29" s="27" customFormat="1" ht="15.75" thickBot="1" x14ac:dyDescent="0.3">
      <c r="A2" s="524" t="s">
        <v>443</v>
      </c>
      <c r="B2" s="524"/>
      <c r="C2" s="524"/>
      <c r="D2" s="524"/>
      <c r="E2" s="524"/>
      <c r="L2" s="342" t="s">
        <v>873</v>
      </c>
      <c r="M2" s="343"/>
      <c r="N2" s="343"/>
      <c r="O2" s="343"/>
      <c r="P2" s="343"/>
      <c r="Q2" s="344"/>
    </row>
    <row r="3" spans="1:29" ht="19.5" thickBot="1" x14ac:dyDescent="0.4">
      <c r="A3" s="442" t="s">
        <v>444</v>
      </c>
      <c r="B3" s="442"/>
      <c r="C3" s="442"/>
      <c r="D3" s="442"/>
      <c r="E3" s="442"/>
      <c r="L3" s="363" t="s">
        <v>738</v>
      </c>
      <c r="M3" s="364"/>
      <c r="N3" s="364"/>
      <c r="O3" s="364"/>
      <c r="P3" s="364"/>
      <c r="Q3" s="365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8.75" thickBot="1" x14ac:dyDescent="0.4">
      <c r="L4" s="366" t="s">
        <v>741</v>
      </c>
      <c r="M4" s="367"/>
      <c r="N4" s="367"/>
      <c r="O4" s="367"/>
      <c r="P4" s="367"/>
      <c r="Q4" s="368"/>
      <c r="S4" s="388" t="s">
        <v>748</v>
      </c>
      <c r="T4" s="389"/>
      <c r="U4" s="389"/>
      <c r="V4" s="389"/>
      <c r="W4" s="389"/>
      <c r="X4" s="389"/>
      <c r="Y4" s="389"/>
      <c r="Z4" s="390"/>
      <c r="AA4" s="27"/>
      <c r="AB4" s="27"/>
      <c r="AC4" s="27"/>
    </row>
    <row r="5" spans="1:29" ht="18.75" x14ac:dyDescent="0.35">
      <c r="L5" s="366" t="s">
        <v>740</v>
      </c>
      <c r="M5" s="367"/>
      <c r="N5" s="367"/>
      <c r="O5" s="367"/>
      <c r="P5" s="367"/>
      <c r="Q5" s="368"/>
      <c r="S5" s="160"/>
      <c r="T5" s="171"/>
      <c r="U5" s="171"/>
      <c r="V5" s="171"/>
      <c r="W5" s="171"/>
      <c r="X5" s="171"/>
      <c r="Y5" s="171"/>
      <c r="Z5" s="172"/>
      <c r="AA5" s="27"/>
      <c r="AB5" s="27"/>
      <c r="AC5" s="27"/>
    </row>
    <row r="6" spans="1:29" x14ac:dyDescent="0.25">
      <c r="L6" s="366" t="s">
        <v>739</v>
      </c>
      <c r="M6" s="367"/>
      <c r="N6" s="367"/>
      <c r="O6" s="367"/>
      <c r="P6" s="367"/>
      <c r="Q6" s="368"/>
      <c r="S6" s="160"/>
      <c r="T6" s="171"/>
      <c r="U6" s="171"/>
      <c r="V6" s="171"/>
      <c r="W6" s="171"/>
      <c r="X6" s="171"/>
      <c r="Y6" s="171"/>
      <c r="Z6" s="172"/>
      <c r="AA6" s="27"/>
      <c r="AB6" s="27"/>
      <c r="AC6" s="27"/>
    </row>
    <row r="7" spans="1:29" ht="18" thickBot="1" x14ac:dyDescent="0.3">
      <c r="L7" s="366" t="s">
        <v>743</v>
      </c>
      <c r="M7" s="367"/>
      <c r="N7" s="367"/>
      <c r="O7" s="367"/>
      <c r="P7" s="367"/>
      <c r="Q7" s="368"/>
      <c r="S7" s="160"/>
      <c r="T7" s="171"/>
      <c r="U7" s="171"/>
      <c r="V7" s="171"/>
      <c r="W7" s="171"/>
      <c r="X7" s="171"/>
      <c r="Y7" s="171"/>
      <c r="Z7" s="172"/>
      <c r="AA7" s="27"/>
      <c r="AB7" s="27"/>
      <c r="AC7" s="27"/>
    </row>
    <row r="8" spans="1:29" ht="19.5" thickBot="1" x14ac:dyDescent="0.4">
      <c r="A8" s="342" t="s">
        <v>563</v>
      </c>
      <c r="B8" s="343"/>
      <c r="C8" s="343"/>
      <c r="D8" s="343"/>
      <c r="E8" s="343"/>
      <c r="F8" s="343"/>
      <c r="G8" s="344"/>
      <c r="H8" s="178"/>
      <c r="I8" s="178"/>
      <c r="J8" s="66"/>
      <c r="K8" s="178"/>
      <c r="L8" s="925" t="s">
        <v>742</v>
      </c>
      <c r="M8" s="926"/>
      <c r="N8" s="926"/>
      <c r="O8" s="926"/>
      <c r="P8" s="926"/>
      <c r="Q8" s="927"/>
      <c r="S8" s="160"/>
      <c r="T8" s="171"/>
      <c r="U8" s="171"/>
      <c r="V8" s="171"/>
      <c r="W8" s="171"/>
      <c r="X8" s="171"/>
      <c r="Y8" s="171"/>
      <c r="Z8" s="172"/>
      <c r="AA8" s="27"/>
      <c r="AB8" s="27"/>
      <c r="AC8" s="27"/>
    </row>
    <row r="9" spans="1:29" x14ac:dyDescent="0.25">
      <c r="A9" s="363" t="s">
        <v>736</v>
      </c>
      <c r="B9" s="364"/>
      <c r="C9" s="364"/>
      <c r="D9" s="364"/>
      <c r="E9" s="364"/>
      <c r="F9" s="364"/>
      <c r="G9" s="365"/>
      <c r="H9" s="68"/>
      <c r="I9" s="68"/>
      <c r="J9" s="66"/>
      <c r="K9" s="68"/>
      <c r="L9" s="366" t="s">
        <v>839</v>
      </c>
      <c r="M9" s="367"/>
      <c r="N9" s="367"/>
      <c r="O9" s="367"/>
      <c r="P9" s="367"/>
      <c r="Q9" s="368"/>
      <c r="S9" s="160"/>
      <c r="T9" s="171"/>
      <c r="U9" s="171"/>
      <c r="V9" s="171"/>
      <c r="W9" s="171"/>
      <c r="X9" s="171"/>
      <c r="Y9" s="171"/>
      <c r="Z9" s="172"/>
    </row>
    <row r="10" spans="1:29" ht="15.75" thickBot="1" x14ac:dyDescent="0.3">
      <c r="A10" s="366" t="s">
        <v>735</v>
      </c>
      <c r="B10" s="367"/>
      <c r="C10" s="367"/>
      <c r="D10" s="367"/>
      <c r="E10" s="367"/>
      <c r="F10" s="367"/>
      <c r="G10" s="368"/>
      <c r="H10" s="68"/>
      <c r="I10" s="68"/>
      <c r="J10" s="66"/>
      <c r="K10" s="68"/>
      <c r="L10" s="357" t="s">
        <v>840</v>
      </c>
      <c r="M10" s="358"/>
      <c r="N10" s="358"/>
      <c r="O10" s="358"/>
      <c r="P10" s="358"/>
      <c r="Q10" s="359"/>
      <c r="S10" s="161"/>
      <c r="T10" s="173"/>
      <c r="U10" s="173"/>
      <c r="V10" s="173"/>
      <c r="W10" s="173"/>
      <c r="X10" s="173"/>
      <c r="Y10" s="173"/>
      <c r="Z10" s="174"/>
    </row>
    <row r="11" spans="1:29" ht="15.75" thickBot="1" x14ac:dyDescent="0.3">
      <c r="A11" s="916" t="s">
        <v>751</v>
      </c>
      <c r="B11" s="917"/>
      <c r="C11" s="917"/>
      <c r="D11" s="917"/>
      <c r="E11" s="917"/>
      <c r="F11" s="917"/>
      <c r="G11" s="918"/>
      <c r="H11" s="179"/>
      <c r="I11" s="179"/>
      <c r="J11" s="66"/>
      <c r="K11" s="179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9" ht="15.75" thickBot="1" x14ac:dyDescent="0.3">
      <c r="A12" s="421" t="s">
        <v>505</v>
      </c>
      <c r="B12" s="422"/>
      <c r="C12" s="422"/>
      <c r="D12" s="422"/>
      <c r="E12" s="422"/>
      <c r="F12" s="422"/>
      <c r="G12" s="540"/>
      <c r="H12" s="178"/>
      <c r="I12" s="178"/>
      <c r="J12" s="66"/>
      <c r="K12" s="178"/>
      <c r="L12" s="388" t="s">
        <v>785</v>
      </c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90"/>
      <c r="Y12" s="66"/>
      <c r="Z12" s="142" t="s">
        <v>576</v>
      </c>
      <c r="AA12" s="376" t="s">
        <v>580</v>
      </c>
      <c r="AB12" s="377"/>
    </row>
    <row r="13" spans="1:29" ht="18" x14ac:dyDescent="0.25">
      <c r="A13" s="380" t="s">
        <v>497</v>
      </c>
      <c r="B13" s="381"/>
      <c r="C13" s="381"/>
      <c r="D13" s="381" t="s">
        <v>564</v>
      </c>
      <c r="E13" s="381"/>
      <c r="F13" s="138" t="s">
        <v>730</v>
      </c>
      <c r="G13" s="143" t="s">
        <v>731</v>
      </c>
      <c r="H13" s="71"/>
      <c r="I13" s="71"/>
      <c r="J13" s="66"/>
      <c r="K13" s="71"/>
      <c r="L13" s="472"/>
      <c r="M13" s="473"/>
      <c r="N13" s="476" t="s">
        <v>761</v>
      </c>
      <c r="O13" s="476"/>
      <c r="P13" s="476"/>
      <c r="Q13" s="476"/>
      <c r="R13" s="476"/>
      <c r="S13" s="476"/>
      <c r="T13" s="476"/>
      <c r="U13" s="476"/>
      <c r="V13" s="476"/>
      <c r="W13" s="476"/>
      <c r="X13" s="477"/>
      <c r="Y13" s="66"/>
      <c r="Z13" s="135" t="s">
        <v>800</v>
      </c>
      <c r="AA13" s="423">
        <f>1.17*10^-10</f>
        <v>1.1700000000000001E-10</v>
      </c>
      <c r="AB13" s="424"/>
    </row>
    <row r="14" spans="1:29" ht="18" x14ac:dyDescent="0.25">
      <c r="A14" s="380"/>
      <c r="B14" s="381"/>
      <c r="C14" s="381"/>
      <c r="D14" s="912" t="s">
        <v>574</v>
      </c>
      <c r="E14" s="912"/>
      <c r="F14" s="144" t="s">
        <v>1312</v>
      </c>
      <c r="G14" s="75" t="s">
        <v>1313</v>
      </c>
      <c r="H14" s="71"/>
      <c r="I14" s="71"/>
      <c r="J14" s="66"/>
      <c r="K14" s="71"/>
      <c r="L14" s="474"/>
      <c r="M14" s="475"/>
      <c r="N14" s="198" t="s">
        <v>762</v>
      </c>
      <c r="O14" s="198" t="s">
        <v>763</v>
      </c>
      <c r="P14" s="198" t="s">
        <v>764</v>
      </c>
      <c r="Q14" s="198" t="s">
        <v>765</v>
      </c>
      <c r="R14" s="198" t="s">
        <v>766</v>
      </c>
      <c r="S14" s="198" t="s">
        <v>767</v>
      </c>
      <c r="T14" s="198" t="s">
        <v>768</v>
      </c>
      <c r="U14" s="198" t="s">
        <v>769</v>
      </c>
      <c r="V14" s="198" t="s">
        <v>770</v>
      </c>
      <c r="W14" s="198" t="s">
        <v>771</v>
      </c>
      <c r="X14" s="199" t="s">
        <v>772</v>
      </c>
      <c r="Y14" s="66"/>
      <c r="Z14" s="137" t="s">
        <v>801</v>
      </c>
      <c r="AA14" s="338">
        <f>1.08*10^-10</f>
        <v>1.0800000000000001E-10</v>
      </c>
      <c r="AB14" s="339"/>
    </row>
    <row r="15" spans="1:29" ht="18" x14ac:dyDescent="0.25">
      <c r="A15" s="366" t="s">
        <v>523</v>
      </c>
      <c r="B15" s="367"/>
      <c r="C15" s="367"/>
      <c r="D15" s="381">
        <v>0</v>
      </c>
      <c r="E15" s="381"/>
      <c r="F15" s="144">
        <v>1</v>
      </c>
      <c r="G15" s="75">
        <v>1</v>
      </c>
      <c r="H15" s="71"/>
      <c r="I15" s="71"/>
      <c r="J15" s="66"/>
      <c r="K15" s="71"/>
      <c r="L15" s="474"/>
      <c r="M15" s="475"/>
      <c r="N15" s="138" t="s">
        <v>792</v>
      </c>
      <c r="O15" s="138" t="s">
        <v>793</v>
      </c>
      <c r="P15" s="138" t="s">
        <v>794</v>
      </c>
      <c r="Q15" s="138" t="s">
        <v>900</v>
      </c>
      <c r="R15" s="138" t="s">
        <v>901</v>
      </c>
      <c r="S15" s="138" t="s">
        <v>795</v>
      </c>
      <c r="T15" s="138" t="s">
        <v>835</v>
      </c>
      <c r="U15" s="138" t="s">
        <v>796</v>
      </c>
      <c r="V15" s="138" t="s">
        <v>797</v>
      </c>
      <c r="W15" s="138" t="s">
        <v>798</v>
      </c>
      <c r="X15" s="143" t="s">
        <v>799</v>
      </c>
      <c r="Y15" s="66"/>
      <c r="Z15" s="137" t="s">
        <v>802</v>
      </c>
      <c r="AA15" s="338">
        <f>3.36*10^-9</f>
        <v>3.36E-9</v>
      </c>
      <c r="AB15" s="339"/>
    </row>
    <row r="16" spans="1:29" ht="18" x14ac:dyDescent="0.25">
      <c r="A16" s="366" t="s">
        <v>510</v>
      </c>
      <c r="B16" s="367"/>
      <c r="C16" s="367"/>
      <c r="D16" s="381">
        <v>0</v>
      </c>
      <c r="E16" s="381"/>
      <c r="F16" s="144">
        <v>0</v>
      </c>
      <c r="G16" s="75">
        <v>0.5</v>
      </c>
      <c r="H16" s="71"/>
      <c r="I16" s="71"/>
      <c r="J16" s="66"/>
      <c r="K16" s="71"/>
      <c r="L16" s="459" t="s">
        <v>773</v>
      </c>
      <c r="M16" s="138" t="s">
        <v>786</v>
      </c>
      <c r="N16" s="185" t="s">
        <v>774</v>
      </c>
      <c r="O16" s="185" t="s">
        <v>774</v>
      </c>
      <c r="P16" s="185" t="s">
        <v>774</v>
      </c>
      <c r="Q16" s="138" t="s">
        <v>775</v>
      </c>
      <c r="R16" s="185" t="s">
        <v>774</v>
      </c>
      <c r="S16" s="185" t="s">
        <v>774</v>
      </c>
      <c r="T16" s="185" t="s">
        <v>774</v>
      </c>
      <c r="U16" s="185" t="s">
        <v>774</v>
      </c>
      <c r="V16" s="185" t="s">
        <v>774</v>
      </c>
      <c r="W16" s="185" t="s">
        <v>774</v>
      </c>
      <c r="X16" s="193" t="s">
        <v>774</v>
      </c>
      <c r="Y16" s="66"/>
      <c r="Z16" s="137" t="s">
        <v>803</v>
      </c>
      <c r="AA16" s="338">
        <f>3.45*10^-11</f>
        <v>3.4499999999999997E-11</v>
      </c>
      <c r="AB16" s="339"/>
    </row>
    <row r="17" spans="1:28" ht="18" x14ac:dyDescent="0.25">
      <c r="A17" s="366" t="s">
        <v>552</v>
      </c>
      <c r="B17" s="367"/>
      <c r="C17" s="367"/>
      <c r="D17" s="381">
        <v>0</v>
      </c>
      <c r="E17" s="381"/>
      <c r="F17" s="138" t="s">
        <v>372</v>
      </c>
      <c r="G17" s="143" t="s">
        <v>372</v>
      </c>
      <c r="H17" s="71"/>
      <c r="I17" s="71"/>
      <c r="J17" s="66"/>
      <c r="K17" s="71"/>
      <c r="L17" s="459"/>
      <c r="M17" s="138" t="s">
        <v>787</v>
      </c>
      <c r="N17" s="185" t="s">
        <v>774</v>
      </c>
      <c r="O17" s="185" t="s">
        <v>774</v>
      </c>
      <c r="P17" s="185" t="s">
        <v>774</v>
      </c>
      <c r="Q17" s="186" t="s">
        <v>777</v>
      </c>
      <c r="R17" s="185" t="s">
        <v>774</v>
      </c>
      <c r="S17" s="185" t="s">
        <v>774</v>
      </c>
      <c r="T17" s="185" t="s">
        <v>774</v>
      </c>
      <c r="U17" s="185" t="s">
        <v>774</v>
      </c>
      <c r="V17" s="185" t="s">
        <v>774</v>
      </c>
      <c r="W17" s="185" t="s">
        <v>774</v>
      </c>
      <c r="X17" s="193" t="s">
        <v>774</v>
      </c>
      <c r="Y17" s="66"/>
      <c r="Z17" s="137" t="s">
        <v>791</v>
      </c>
      <c r="AA17" s="338">
        <f>5.92*10^-15</f>
        <v>5.9200000000000007E-15</v>
      </c>
      <c r="AB17" s="339"/>
    </row>
    <row r="18" spans="1:28" ht="17.25" x14ac:dyDescent="0.25">
      <c r="A18" s="868" t="s">
        <v>545</v>
      </c>
      <c r="B18" s="535"/>
      <c r="C18" s="535"/>
      <c r="D18" s="914">
        <v>0</v>
      </c>
      <c r="E18" s="914"/>
      <c r="F18" s="146" t="str">
        <f>CONCATENATE(F16," + ",F15,F17)</f>
        <v>0 + 1x</v>
      </c>
      <c r="G18" s="147" t="str">
        <f>CONCATENATE(G16," + ",G15,G17)</f>
        <v>0.5 + 1x</v>
      </c>
      <c r="H18" s="180"/>
      <c r="I18" s="180"/>
      <c r="J18" s="66"/>
      <c r="K18" s="180"/>
      <c r="L18" s="459"/>
      <c r="M18" s="138" t="s">
        <v>788</v>
      </c>
      <c r="N18" s="185" t="s">
        <v>774</v>
      </c>
      <c r="O18" s="185" t="s">
        <v>774</v>
      </c>
      <c r="P18" s="185" t="s">
        <v>774</v>
      </c>
      <c r="Q18" s="186" t="s">
        <v>777</v>
      </c>
      <c r="R18" s="185" t="s">
        <v>774</v>
      </c>
      <c r="S18" s="185" t="s">
        <v>774</v>
      </c>
      <c r="T18" s="185" t="s">
        <v>774</v>
      </c>
      <c r="U18" s="185" t="s">
        <v>774</v>
      </c>
      <c r="V18" s="185" t="s">
        <v>774</v>
      </c>
      <c r="W18" s="185" t="s">
        <v>774</v>
      </c>
      <c r="X18" s="193" t="s">
        <v>774</v>
      </c>
      <c r="Y18" s="66"/>
      <c r="Z18" s="137" t="s">
        <v>577</v>
      </c>
      <c r="AA18" s="338">
        <f>6.27*10^-9</f>
        <v>6.2700000000000001E-9</v>
      </c>
      <c r="AB18" s="339"/>
    </row>
    <row r="19" spans="1:28" ht="18" x14ac:dyDescent="0.25">
      <c r="A19" s="913" t="s">
        <v>566</v>
      </c>
      <c r="B19" s="914"/>
      <c r="C19" s="914"/>
      <c r="D19" s="524" t="str">
        <f>_xlfn.CONCAT("(",F18,")^",F15,"*(",G18,")^",G15)</f>
        <v>(0 + 1x)^1*(0.5 + 1x)^1</v>
      </c>
      <c r="E19" s="524"/>
      <c r="F19" s="524"/>
      <c r="G19" s="602"/>
      <c r="H19" s="68"/>
      <c r="I19" s="68"/>
      <c r="J19" s="66"/>
      <c r="K19" s="68"/>
      <c r="L19" s="459"/>
      <c r="M19" s="138" t="s">
        <v>817</v>
      </c>
      <c r="N19" s="185" t="s">
        <v>774</v>
      </c>
      <c r="O19" s="185" t="s">
        <v>774</v>
      </c>
      <c r="P19" s="185" t="s">
        <v>774</v>
      </c>
      <c r="Q19" s="187" t="s">
        <v>750</v>
      </c>
      <c r="R19" s="186" t="s">
        <v>777</v>
      </c>
      <c r="S19" s="187" t="s">
        <v>750</v>
      </c>
      <c r="T19" s="188" t="s">
        <v>778</v>
      </c>
      <c r="U19" s="138" t="s">
        <v>775</v>
      </c>
      <c r="V19" s="185" t="s">
        <v>774</v>
      </c>
      <c r="W19" s="185" t="s">
        <v>774</v>
      </c>
      <c r="X19" s="193" t="s">
        <v>774</v>
      </c>
      <c r="Y19" s="66"/>
      <c r="Z19" s="137" t="s">
        <v>804</v>
      </c>
      <c r="AA19" s="338">
        <f>1.4*10^-10</f>
        <v>1.4000000000000001E-10</v>
      </c>
      <c r="AB19" s="339"/>
    </row>
    <row r="20" spans="1:28" ht="18" x14ac:dyDescent="0.25">
      <c r="A20" s="913" t="s">
        <v>565</v>
      </c>
      <c r="B20" s="914"/>
      <c r="C20" s="914"/>
      <c r="D20" s="915">
        <f>F20</f>
        <v>1.7700000000000001E-10</v>
      </c>
      <c r="E20" s="500"/>
      <c r="F20" s="910">
        <f>INDEX(AA13:AB34,MATCH(D14,Z13:Z34,0),1)</f>
        <v>1.7700000000000001E-10</v>
      </c>
      <c r="G20" s="911"/>
      <c r="H20" s="181"/>
      <c r="I20" s="181"/>
      <c r="J20" s="66"/>
      <c r="K20" s="181"/>
      <c r="L20" s="459"/>
      <c r="M20" s="138" t="s">
        <v>818</v>
      </c>
      <c r="N20" s="185" t="s">
        <v>774</v>
      </c>
      <c r="O20" s="185" t="s">
        <v>774</v>
      </c>
      <c r="P20" s="185" t="s">
        <v>774</v>
      </c>
      <c r="Q20" s="186" t="s">
        <v>777</v>
      </c>
      <c r="R20" s="186" t="s">
        <v>777</v>
      </c>
      <c r="S20" s="188" t="s">
        <v>778</v>
      </c>
      <c r="T20" s="187" t="s">
        <v>750</v>
      </c>
      <c r="U20" s="188" t="s">
        <v>778</v>
      </c>
      <c r="V20" s="188" t="s">
        <v>778</v>
      </c>
      <c r="W20" s="185" t="s">
        <v>774</v>
      </c>
      <c r="X20" s="193" t="s">
        <v>774</v>
      </c>
      <c r="Y20" s="66"/>
      <c r="Z20" s="137" t="s">
        <v>805</v>
      </c>
      <c r="AA20" s="338">
        <f>4.87*10^-17</f>
        <v>4.8700000000000007E-17</v>
      </c>
      <c r="AB20" s="339"/>
    </row>
    <row r="21" spans="1:28" ht="18" x14ac:dyDescent="0.25">
      <c r="A21" s="366" t="s">
        <v>568</v>
      </c>
      <c r="B21" s="367"/>
      <c r="C21" s="367"/>
      <c r="D21" s="463">
        <f>Ag+Cl</f>
        <v>143.3212</v>
      </c>
      <c r="E21" s="463"/>
      <c r="F21" s="463"/>
      <c r="G21" s="641"/>
      <c r="H21" s="68"/>
      <c r="I21" s="68"/>
      <c r="J21" s="66"/>
      <c r="K21" s="68"/>
      <c r="L21" s="459"/>
      <c r="M21" s="138" t="s">
        <v>819</v>
      </c>
      <c r="N21" s="185" t="s">
        <v>774</v>
      </c>
      <c r="O21" s="185" t="s">
        <v>774</v>
      </c>
      <c r="P21" s="185" t="s">
        <v>774</v>
      </c>
      <c r="Q21" s="185" t="s">
        <v>774</v>
      </c>
      <c r="R21" s="185" t="s">
        <v>774</v>
      </c>
      <c r="S21" s="185" t="s">
        <v>774</v>
      </c>
      <c r="T21" s="187" t="s">
        <v>750</v>
      </c>
      <c r="U21" s="187" t="s">
        <v>750</v>
      </c>
      <c r="V21" s="187" t="s">
        <v>750</v>
      </c>
      <c r="W21" s="185" t="s">
        <v>774</v>
      </c>
      <c r="X21" s="193" t="s">
        <v>774</v>
      </c>
      <c r="Y21" s="66"/>
      <c r="Z21" s="137" t="s">
        <v>806</v>
      </c>
      <c r="AA21" s="338">
        <f>7.4*10^-14</f>
        <v>7.4E-14</v>
      </c>
      <c r="AB21" s="339"/>
    </row>
    <row r="22" spans="1:28" ht="18" x14ac:dyDescent="0.25">
      <c r="A22" s="919" t="s">
        <v>831</v>
      </c>
      <c r="B22" s="920"/>
      <c r="C22" s="920"/>
      <c r="D22" s="920"/>
      <c r="E22" s="920"/>
      <c r="F22" s="920"/>
      <c r="G22" s="921"/>
      <c r="H22" s="182"/>
      <c r="I22" s="182"/>
      <c r="J22" s="66"/>
      <c r="K22" s="182"/>
      <c r="L22" s="459"/>
      <c r="M22" s="138" t="s">
        <v>820</v>
      </c>
      <c r="N22" s="185" t="s">
        <v>774</v>
      </c>
      <c r="O22" s="185" t="s">
        <v>774</v>
      </c>
      <c r="P22" s="185" t="s">
        <v>774</v>
      </c>
      <c r="Q22" s="187" t="s">
        <v>750</v>
      </c>
      <c r="R22" s="187" t="s">
        <v>750</v>
      </c>
      <c r="S22" s="187" t="s">
        <v>750</v>
      </c>
      <c r="T22" s="187" t="s">
        <v>750</v>
      </c>
      <c r="U22" s="138" t="s">
        <v>775</v>
      </c>
      <c r="V22" s="185" t="s">
        <v>774</v>
      </c>
      <c r="W22" s="185" t="s">
        <v>774</v>
      </c>
      <c r="X22" s="193" t="s">
        <v>774</v>
      </c>
      <c r="Y22" s="66"/>
      <c r="Z22" s="137" t="s">
        <v>807</v>
      </c>
      <c r="AA22" s="338">
        <f>2.8*10^-13</f>
        <v>2.7999999999999997E-13</v>
      </c>
      <c r="AB22" s="339"/>
    </row>
    <row r="23" spans="1:28" ht="18" x14ac:dyDescent="0.25">
      <c r="A23" s="336" t="s">
        <v>569</v>
      </c>
      <c r="B23" s="337"/>
      <c r="C23" s="337"/>
      <c r="D23" s="909" t="str">
        <f>IF(NOT(AND(F16=0,G16=0)),"Common Ion Present",
(D20
/((IF(F15=0,1,F15^F15))*(IF(G15=0,1,G15^G15))))
^(1/((IF(F15=0,1,F15))+(IF(G15=0,1,G15)))))</f>
        <v>Common Ion Present</v>
      </c>
      <c r="E23" s="909"/>
      <c r="F23" s="910" t="str">
        <f>D23</f>
        <v>Common Ion Present</v>
      </c>
      <c r="G23" s="911"/>
      <c r="H23" s="181"/>
      <c r="I23" s="181"/>
      <c r="J23" s="66"/>
      <c r="K23" s="181"/>
      <c r="L23" s="459"/>
      <c r="M23" s="138" t="s">
        <v>821</v>
      </c>
      <c r="N23" s="185" t="s">
        <v>774</v>
      </c>
      <c r="O23" s="185" t="s">
        <v>774</v>
      </c>
      <c r="P23" s="185" t="s">
        <v>774</v>
      </c>
      <c r="Q23" s="187" t="s">
        <v>750</v>
      </c>
      <c r="R23" s="187" t="s">
        <v>750</v>
      </c>
      <c r="S23" s="187" t="s">
        <v>750</v>
      </c>
      <c r="T23" s="187" t="s">
        <v>750</v>
      </c>
      <c r="U23" s="138" t="s">
        <v>775</v>
      </c>
      <c r="V23" s="185" t="s">
        <v>774</v>
      </c>
      <c r="W23" s="185" t="s">
        <v>774</v>
      </c>
      <c r="X23" s="193" t="s">
        <v>774</v>
      </c>
      <c r="Y23" s="66"/>
      <c r="Z23" s="137" t="s">
        <v>808</v>
      </c>
      <c r="AA23" s="338">
        <f>3.3*10^-8</f>
        <v>3.2999999999999998E-8</v>
      </c>
      <c r="AB23" s="339"/>
    </row>
    <row r="24" spans="1:28" ht="18" x14ac:dyDescent="0.25">
      <c r="A24" s="366" t="s">
        <v>570</v>
      </c>
      <c r="B24" s="367"/>
      <c r="C24" s="367"/>
      <c r="D24" s="6" t="str">
        <f>IF(D23="Common Ion Present","--",D23*D21)</f>
        <v>--</v>
      </c>
      <c r="E24" s="21" t="s">
        <v>571</v>
      </c>
      <c r="F24" s="169" t="str">
        <f>D24</f>
        <v>--</v>
      </c>
      <c r="G24" s="24" t="s">
        <v>571</v>
      </c>
      <c r="H24" s="66"/>
      <c r="I24" s="66"/>
      <c r="J24" s="66"/>
      <c r="K24" s="66"/>
      <c r="L24" s="459"/>
      <c r="M24" s="138" t="s">
        <v>822</v>
      </c>
      <c r="N24" s="185" t="s">
        <v>774</v>
      </c>
      <c r="O24" s="185" t="s">
        <v>774</v>
      </c>
      <c r="P24" s="138" t="s">
        <v>775</v>
      </c>
      <c r="Q24" s="187" t="s">
        <v>750</v>
      </c>
      <c r="R24" s="138" t="s">
        <v>775</v>
      </c>
      <c r="S24" s="187" t="s">
        <v>750</v>
      </c>
      <c r="T24" s="138" t="s">
        <v>775</v>
      </c>
      <c r="U24" s="187" t="s">
        <v>750</v>
      </c>
      <c r="V24" s="185" t="s">
        <v>774</v>
      </c>
      <c r="W24" s="187" t="s">
        <v>750</v>
      </c>
      <c r="X24" s="193" t="s">
        <v>774</v>
      </c>
      <c r="Y24" s="66"/>
      <c r="Z24" s="137" t="s">
        <v>790</v>
      </c>
      <c r="AA24" s="338">
        <f>5.61*10^-12</f>
        <v>5.6100000000000005E-12</v>
      </c>
      <c r="AB24" s="339"/>
    </row>
    <row r="25" spans="1:28" ht="18" x14ac:dyDescent="0.25">
      <c r="A25" s="657" t="s">
        <v>832</v>
      </c>
      <c r="B25" s="724"/>
      <c r="C25" s="724"/>
      <c r="D25" s="724"/>
      <c r="E25" s="724"/>
      <c r="F25" s="724"/>
      <c r="G25" s="922"/>
      <c r="H25" s="68"/>
      <c r="I25" s="68"/>
      <c r="J25" s="68"/>
      <c r="K25" s="68"/>
      <c r="L25" s="459"/>
      <c r="M25" s="138" t="s">
        <v>823</v>
      </c>
      <c r="N25" s="185" t="s">
        <v>774</v>
      </c>
      <c r="O25" s="185" t="s">
        <v>774</v>
      </c>
      <c r="P25" s="138" t="s">
        <v>775</v>
      </c>
      <c r="Q25" s="187" t="s">
        <v>750</v>
      </c>
      <c r="R25" s="187" t="s">
        <v>750</v>
      </c>
      <c r="S25" s="187" t="s">
        <v>750</v>
      </c>
      <c r="T25" s="187" t="s">
        <v>750</v>
      </c>
      <c r="U25" s="187" t="s">
        <v>750</v>
      </c>
      <c r="V25" s="185" t="s">
        <v>774</v>
      </c>
      <c r="W25" s="185" t="s">
        <v>774</v>
      </c>
      <c r="X25" s="193" t="s">
        <v>774</v>
      </c>
      <c r="Y25" s="66"/>
      <c r="Z25" s="137" t="s">
        <v>809</v>
      </c>
      <c r="AA25" s="338">
        <f>5.48*10^-16</f>
        <v>5.4800000000000003E-16</v>
      </c>
      <c r="AB25" s="339"/>
    </row>
    <row r="26" spans="1:28" ht="18" x14ac:dyDescent="0.25">
      <c r="A26" s="868" t="s">
        <v>737</v>
      </c>
      <c r="B26" s="535"/>
      <c r="C26" s="535"/>
      <c r="D26" s="524">
        <f>IF(AND(F16=0,G16=0),"No Common Ion",
IF(AND(F16=0,G15&gt;1),(1/F15)*((D20/((G16^G15)))^(1/F15)),
IF(AND(G16=0,F15&gt;1),(1/G15)*((D20/((F16^F15)))^(1/G15)),
IF(AND(F16=0,G15=1),(D20/((F15^F15)*(G16^G15)))^(1/F15),
IF(AND(G16=0,F15=1),(D20/((G15^G15)*(F16^F15)))^(1/G15),
)))))</f>
        <v>3.5400000000000002E-10</v>
      </c>
      <c r="E26" s="524"/>
      <c r="F26" s="923">
        <f>D26</f>
        <v>3.5400000000000002E-10</v>
      </c>
      <c r="G26" s="924"/>
      <c r="H26" s="183"/>
      <c r="I26" s="183"/>
      <c r="J26" s="183"/>
      <c r="K26" s="183"/>
      <c r="L26" s="459"/>
      <c r="M26" s="138" t="s">
        <v>824</v>
      </c>
      <c r="N26" s="185" t="s">
        <v>774</v>
      </c>
      <c r="O26" s="185" t="s">
        <v>774</v>
      </c>
      <c r="P26" s="185" t="s">
        <v>774</v>
      </c>
      <c r="Q26" s="187" t="s">
        <v>750</v>
      </c>
      <c r="R26" s="187" t="s">
        <v>750</v>
      </c>
      <c r="S26" s="187" t="s">
        <v>750</v>
      </c>
      <c r="T26" s="187" t="s">
        <v>750</v>
      </c>
      <c r="U26" s="187" t="s">
        <v>750</v>
      </c>
      <c r="V26" s="185" t="s">
        <v>774</v>
      </c>
      <c r="W26" s="185" t="s">
        <v>774</v>
      </c>
      <c r="X26" s="193" t="s">
        <v>774</v>
      </c>
      <c r="Y26" s="66"/>
      <c r="Z26" s="137" t="s">
        <v>810</v>
      </c>
      <c r="AA26" s="338">
        <f>5.38*10^-5</f>
        <v>5.3800000000000007E-5</v>
      </c>
      <c r="AB26" s="339"/>
    </row>
    <row r="27" spans="1:28" ht="18.75" thickBot="1" x14ac:dyDescent="0.3">
      <c r="A27" s="357" t="s">
        <v>570</v>
      </c>
      <c r="B27" s="358"/>
      <c r="C27" s="358"/>
      <c r="D27" s="12">
        <f>IF(D26="No Common Ion", "--",D21*D26)</f>
        <v>5.0735704800000004E-8</v>
      </c>
      <c r="E27" s="16" t="s">
        <v>571</v>
      </c>
      <c r="F27" s="159">
        <f>D27</f>
        <v>5.0735704800000004E-8</v>
      </c>
      <c r="G27" s="89" t="s">
        <v>571</v>
      </c>
      <c r="H27" s="66"/>
      <c r="I27" s="66"/>
      <c r="J27" s="66"/>
      <c r="K27" s="66"/>
      <c r="L27" s="459"/>
      <c r="M27" s="138" t="s">
        <v>825</v>
      </c>
      <c r="N27" s="185" t="s">
        <v>774</v>
      </c>
      <c r="O27" s="185" t="s">
        <v>774</v>
      </c>
      <c r="P27" s="185" t="s">
        <v>774</v>
      </c>
      <c r="Q27" s="187" t="s">
        <v>750</v>
      </c>
      <c r="R27" s="187" t="s">
        <v>750</v>
      </c>
      <c r="S27" s="187" t="s">
        <v>750</v>
      </c>
      <c r="T27" s="187" t="s">
        <v>750</v>
      </c>
      <c r="U27" s="187" t="s">
        <v>750</v>
      </c>
      <c r="V27" s="185" t="s">
        <v>774</v>
      </c>
      <c r="W27" s="185" t="s">
        <v>774</v>
      </c>
      <c r="X27" s="193" t="s">
        <v>774</v>
      </c>
      <c r="Y27" s="66"/>
      <c r="Z27" s="137" t="s">
        <v>811</v>
      </c>
      <c r="AA27" s="338">
        <f>8.46*10^-12</f>
        <v>8.4600000000000007E-12</v>
      </c>
      <c r="AB27" s="339"/>
    </row>
    <row r="28" spans="1:28" ht="18" thickBot="1" x14ac:dyDescent="0.3">
      <c r="F28" s="168"/>
      <c r="H28" s="4"/>
      <c r="I28" s="4"/>
      <c r="J28" s="4"/>
      <c r="K28" s="4"/>
      <c r="L28" s="459"/>
      <c r="M28" s="138" t="s">
        <v>826</v>
      </c>
      <c r="N28" s="185" t="s">
        <v>774</v>
      </c>
      <c r="O28" s="185" t="s">
        <v>774</v>
      </c>
      <c r="P28" s="185" t="s">
        <v>774</v>
      </c>
      <c r="Q28" s="187" t="s">
        <v>750</v>
      </c>
      <c r="R28" s="187" t="s">
        <v>750</v>
      </c>
      <c r="S28" s="187" t="s">
        <v>750</v>
      </c>
      <c r="T28" s="187" t="s">
        <v>750</v>
      </c>
      <c r="U28" s="185" t="s">
        <v>774</v>
      </c>
      <c r="V28" s="185" t="s">
        <v>774</v>
      </c>
      <c r="W28" s="185" t="s">
        <v>774</v>
      </c>
      <c r="X28" s="193" t="s">
        <v>774</v>
      </c>
      <c r="Y28" s="66"/>
      <c r="Z28" s="137" t="s">
        <v>574</v>
      </c>
      <c r="AA28" s="338">
        <f>1.77*10^-10</f>
        <v>1.7700000000000001E-10</v>
      </c>
      <c r="AB28" s="339"/>
    </row>
    <row r="29" spans="1:28" ht="18.75" thickBot="1" x14ac:dyDescent="0.4">
      <c r="A29" s="342" t="s">
        <v>729</v>
      </c>
      <c r="B29" s="343"/>
      <c r="C29" s="343"/>
      <c r="D29" s="343"/>
      <c r="E29" s="343"/>
      <c r="F29" s="343"/>
      <c r="G29" s="344"/>
      <c r="H29" s="178"/>
      <c r="I29" s="178"/>
      <c r="J29" s="178"/>
      <c r="K29" s="178"/>
      <c r="L29" s="459"/>
      <c r="M29" s="138" t="s">
        <v>827</v>
      </c>
      <c r="N29" s="185" t="s">
        <v>774</v>
      </c>
      <c r="O29" s="185" t="s">
        <v>774</v>
      </c>
      <c r="P29" s="188" t="s">
        <v>778</v>
      </c>
      <c r="Q29" s="187" t="s">
        <v>750</v>
      </c>
      <c r="R29" s="187" t="s">
        <v>750</v>
      </c>
      <c r="S29" s="187" t="s">
        <v>750</v>
      </c>
      <c r="T29" s="138" t="s">
        <v>775</v>
      </c>
      <c r="U29" s="138" t="s">
        <v>775</v>
      </c>
      <c r="V29" s="185" t="s">
        <v>774</v>
      </c>
      <c r="W29" s="185" t="s">
        <v>774</v>
      </c>
      <c r="X29" s="143" t="s">
        <v>775</v>
      </c>
      <c r="Y29" s="66"/>
      <c r="Z29" s="137" t="s">
        <v>812</v>
      </c>
      <c r="AA29" s="338">
        <f>1.12*10^-12</f>
        <v>1.1200000000000001E-12</v>
      </c>
      <c r="AB29" s="339"/>
    </row>
    <row r="30" spans="1:28" ht="18" x14ac:dyDescent="0.25">
      <c r="A30" s="421" t="s">
        <v>35</v>
      </c>
      <c r="B30" s="422"/>
      <c r="C30" s="422"/>
      <c r="D30" s="422"/>
      <c r="E30" s="422" t="s">
        <v>502</v>
      </c>
      <c r="F30" s="422"/>
      <c r="G30" s="540"/>
      <c r="H30" s="178"/>
      <c r="I30" s="178"/>
      <c r="J30" s="178"/>
      <c r="K30" s="178"/>
      <c r="L30" s="459"/>
      <c r="M30" s="138" t="s">
        <v>828</v>
      </c>
      <c r="N30" s="185" t="s">
        <v>774</v>
      </c>
      <c r="O30" s="188" t="s">
        <v>778</v>
      </c>
      <c r="P30" s="187" t="s">
        <v>750</v>
      </c>
      <c r="Q30" s="187" t="s">
        <v>750</v>
      </c>
      <c r="R30" s="187" t="s">
        <v>750</v>
      </c>
      <c r="S30" s="187" t="s">
        <v>750</v>
      </c>
      <c r="T30" s="187" t="s">
        <v>750</v>
      </c>
      <c r="U30" s="187" t="s">
        <v>750</v>
      </c>
      <c r="V30" s="186" t="s">
        <v>777</v>
      </c>
      <c r="W30" s="185" t="s">
        <v>774</v>
      </c>
      <c r="X30" s="193" t="s">
        <v>774</v>
      </c>
      <c r="Y30" s="66"/>
      <c r="Z30" s="137" t="s">
        <v>813</v>
      </c>
      <c r="AA30" s="338">
        <f>5.6*10^-10</f>
        <v>5.6000000000000003E-10</v>
      </c>
      <c r="AB30" s="339"/>
    </row>
    <row r="31" spans="1:28" ht="18" x14ac:dyDescent="0.25">
      <c r="A31" s="366" t="s">
        <v>497</v>
      </c>
      <c r="B31" s="367"/>
      <c r="C31" s="463" t="s">
        <v>594</v>
      </c>
      <c r="D31" s="463"/>
      <c r="E31" s="367" t="s">
        <v>186</v>
      </c>
      <c r="F31" s="367"/>
      <c r="G31" s="19">
        <f>Zn+C_+O*3</f>
        <v>125.38889999999999</v>
      </c>
      <c r="H31" s="66"/>
      <c r="I31" s="66"/>
      <c r="J31" s="66"/>
      <c r="K31" s="66"/>
      <c r="L31" s="459"/>
      <c r="M31" s="138" t="s">
        <v>829</v>
      </c>
      <c r="N31" s="188" t="s">
        <v>778</v>
      </c>
      <c r="O31" s="188" t="s">
        <v>778</v>
      </c>
      <c r="P31" s="187" t="s">
        <v>750</v>
      </c>
      <c r="Q31" s="187" t="s">
        <v>750</v>
      </c>
      <c r="R31" s="187" t="s">
        <v>750</v>
      </c>
      <c r="S31" s="187" t="s">
        <v>750</v>
      </c>
      <c r="T31" s="187" t="s">
        <v>750</v>
      </c>
      <c r="U31" s="187" t="s">
        <v>750</v>
      </c>
      <c r="V31" s="187" t="s">
        <v>750</v>
      </c>
      <c r="W31" s="185" t="s">
        <v>774</v>
      </c>
      <c r="X31" s="193" t="s">
        <v>774</v>
      </c>
      <c r="Y31" s="66"/>
      <c r="Z31" s="137" t="s">
        <v>814</v>
      </c>
      <c r="AA31" s="338">
        <f>1.46*10^-10</f>
        <v>1.4600000000000001E-10</v>
      </c>
      <c r="AB31" s="339"/>
    </row>
    <row r="32" spans="1:28" ht="18.75" thickBot="1" x14ac:dyDescent="0.3">
      <c r="A32" s="363" t="s">
        <v>733</v>
      </c>
      <c r="B32" s="364"/>
      <c r="C32" s="5">
        <v>1.2999999999999999E-3</v>
      </c>
      <c r="D32" s="167" t="s">
        <v>732</v>
      </c>
      <c r="E32" s="367" t="s">
        <v>567</v>
      </c>
      <c r="F32" s="367"/>
      <c r="G32" s="31">
        <f>C32/G31</f>
        <v>1.0367743875255306E-5</v>
      </c>
      <c r="H32" s="66"/>
      <c r="J32" s="66"/>
      <c r="K32" s="66"/>
      <c r="L32" s="478"/>
      <c r="M32" s="134" t="s">
        <v>789</v>
      </c>
      <c r="N32" s="194" t="s">
        <v>750</v>
      </c>
      <c r="O32" s="194" t="s">
        <v>750</v>
      </c>
      <c r="P32" s="194" t="s">
        <v>750</v>
      </c>
      <c r="Q32" s="194" t="s">
        <v>750</v>
      </c>
      <c r="R32" s="194" t="s">
        <v>750</v>
      </c>
      <c r="S32" s="134" t="s">
        <v>775</v>
      </c>
      <c r="T32" s="194" t="s">
        <v>750</v>
      </c>
      <c r="U32" s="194" t="s">
        <v>750</v>
      </c>
      <c r="V32" s="195" t="s">
        <v>778</v>
      </c>
      <c r="W32" s="195" t="s">
        <v>778</v>
      </c>
      <c r="X32" s="196" t="s">
        <v>774</v>
      </c>
      <c r="Y32" s="66"/>
      <c r="Z32" s="137" t="s">
        <v>815</v>
      </c>
      <c r="AA32" s="338">
        <f>3*10^-17</f>
        <v>3.0000000000000001E-17</v>
      </c>
      <c r="AB32" s="339"/>
    </row>
    <row r="33" spans="1:28" ht="15.75" thickBot="1" x14ac:dyDescent="0.3">
      <c r="A33" s="366" t="s">
        <v>730</v>
      </c>
      <c r="B33" s="367"/>
      <c r="C33" s="1" t="s">
        <v>1351</v>
      </c>
      <c r="D33" s="144">
        <v>1</v>
      </c>
      <c r="E33" s="427" t="s">
        <v>734</v>
      </c>
      <c r="F33" s="928">
        <f>((G32*D33)^D33)*((G32*D34)^D34)</f>
        <v>1.074901130628939E-10</v>
      </c>
      <c r="G33" s="930">
        <f>F33</f>
        <v>1.074901130628939E-10</v>
      </c>
      <c r="H33" s="181"/>
      <c r="I33" s="66"/>
      <c r="J33" s="181"/>
      <c r="K33" s="181"/>
      <c r="L33" s="479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1"/>
      <c r="Y33" s="66"/>
      <c r="Z33" s="137" t="s">
        <v>578</v>
      </c>
      <c r="AA33" s="338">
        <f>5.35*10^-13</f>
        <v>5.3499999999999994E-13</v>
      </c>
      <c r="AB33" s="339"/>
    </row>
    <row r="34" spans="1:28" ht="15.75" thickBot="1" x14ac:dyDescent="0.3">
      <c r="A34" s="357" t="s">
        <v>731</v>
      </c>
      <c r="B34" s="358"/>
      <c r="C34" s="2" t="s">
        <v>1352</v>
      </c>
      <c r="D34" s="145">
        <v>1</v>
      </c>
      <c r="E34" s="797"/>
      <c r="F34" s="929"/>
      <c r="G34" s="931"/>
      <c r="H34" s="181"/>
      <c r="I34" s="181"/>
      <c r="J34" s="181"/>
      <c r="K34" s="181"/>
      <c r="L34" s="189" t="s">
        <v>774</v>
      </c>
      <c r="M34" s="197" t="s">
        <v>779</v>
      </c>
      <c r="N34" s="482" t="s">
        <v>782</v>
      </c>
      <c r="O34" s="482"/>
      <c r="P34" s="482"/>
      <c r="Q34" s="483"/>
      <c r="R34" s="484"/>
      <c r="S34" s="485"/>
      <c r="T34" s="485"/>
      <c r="U34" s="485"/>
      <c r="V34" s="485"/>
      <c r="W34" s="485"/>
      <c r="X34" s="486"/>
      <c r="Y34" s="66"/>
      <c r="Z34" s="133" t="s">
        <v>579</v>
      </c>
      <c r="AA34" s="437">
        <f>1.77*10^-10</f>
        <v>1.7700000000000001E-10</v>
      </c>
      <c r="AB34" s="438"/>
    </row>
    <row r="35" spans="1:28" ht="15.75" thickBot="1" x14ac:dyDescent="0.3">
      <c r="L35" s="190" t="s">
        <v>778</v>
      </c>
      <c r="M35" s="138" t="s">
        <v>779</v>
      </c>
      <c r="N35" s="367" t="s">
        <v>783</v>
      </c>
      <c r="O35" s="367"/>
      <c r="P35" s="367"/>
      <c r="Q35" s="368"/>
      <c r="R35" s="484"/>
      <c r="S35" s="485"/>
      <c r="T35" s="485"/>
      <c r="U35" s="485"/>
      <c r="V35" s="485"/>
      <c r="W35" s="485"/>
      <c r="X35" s="486"/>
      <c r="Y35" s="66"/>
    </row>
    <row r="36" spans="1:28" ht="15.75" thickBot="1" x14ac:dyDescent="0.3">
      <c r="A36" s="342" t="s">
        <v>756</v>
      </c>
      <c r="B36" s="343"/>
      <c r="C36" s="343"/>
      <c r="D36" s="343"/>
      <c r="E36" s="343"/>
      <c r="F36" s="343"/>
      <c r="G36" s="343"/>
      <c r="H36" s="343"/>
      <c r="I36" s="343"/>
      <c r="J36" s="344"/>
      <c r="L36" s="191" t="s">
        <v>750</v>
      </c>
      <c r="M36" s="138" t="s">
        <v>779</v>
      </c>
      <c r="N36" s="367" t="s">
        <v>784</v>
      </c>
      <c r="O36" s="367"/>
      <c r="P36" s="367"/>
      <c r="Q36" s="368"/>
      <c r="R36" s="484"/>
      <c r="S36" s="485"/>
      <c r="T36" s="485"/>
      <c r="U36" s="485"/>
      <c r="V36" s="485"/>
      <c r="W36" s="485"/>
      <c r="X36" s="486"/>
      <c r="Y36" s="66"/>
    </row>
    <row r="37" spans="1:28" x14ac:dyDescent="0.25">
      <c r="A37" s="363" t="s">
        <v>830</v>
      </c>
      <c r="B37" s="364"/>
      <c r="C37" s="364"/>
      <c r="D37" s="364"/>
      <c r="E37" s="364" t="s">
        <v>759</v>
      </c>
      <c r="F37" s="364"/>
      <c r="G37" s="364"/>
      <c r="H37" s="364"/>
      <c r="I37" s="80" t="s">
        <v>730</v>
      </c>
      <c r="J37" s="200" t="s">
        <v>731</v>
      </c>
      <c r="L37" s="137" t="s">
        <v>775</v>
      </c>
      <c r="M37" s="138" t="s">
        <v>779</v>
      </c>
      <c r="N37" s="367" t="s">
        <v>780</v>
      </c>
      <c r="O37" s="367"/>
      <c r="P37" s="367"/>
      <c r="Q37" s="368"/>
      <c r="R37" s="484"/>
      <c r="S37" s="485"/>
      <c r="T37" s="485"/>
      <c r="U37" s="485"/>
      <c r="V37" s="485"/>
      <c r="W37" s="485"/>
      <c r="X37" s="486"/>
      <c r="Y37" s="66"/>
    </row>
    <row r="38" spans="1:28" ht="15.75" thickBot="1" x14ac:dyDescent="0.3">
      <c r="A38" s="366" t="s">
        <v>754</v>
      </c>
      <c r="B38" s="367"/>
      <c r="C38" s="463" t="s">
        <v>1353</v>
      </c>
      <c r="D38" s="463"/>
      <c r="E38" s="1">
        <v>38.700000000000003</v>
      </c>
      <c r="F38" s="21" t="s">
        <v>572</v>
      </c>
      <c r="G38" s="1">
        <f>Na+Cl</f>
        <v>58.442769280000007</v>
      </c>
      <c r="H38" s="21" t="s">
        <v>464</v>
      </c>
      <c r="I38" s="1" t="s">
        <v>776</v>
      </c>
      <c r="J38" s="19" t="s">
        <v>1313</v>
      </c>
      <c r="L38" s="192" t="s">
        <v>777</v>
      </c>
      <c r="M38" s="134" t="s">
        <v>779</v>
      </c>
      <c r="N38" s="358" t="s">
        <v>781</v>
      </c>
      <c r="O38" s="358"/>
      <c r="P38" s="358"/>
      <c r="Q38" s="359"/>
      <c r="R38" s="487"/>
      <c r="S38" s="488"/>
      <c r="T38" s="488"/>
      <c r="U38" s="488"/>
      <c r="V38" s="488"/>
      <c r="W38" s="488"/>
      <c r="X38" s="489"/>
      <c r="Y38" s="66"/>
    </row>
    <row r="39" spans="1:28" ht="15.75" thickBot="1" x14ac:dyDescent="0.3">
      <c r="A39" s="366" t="s">
        <v>755</v>
      </c>
      <c r="B39" s="367"/>
      <c r="C39" s="463" t="s">
        <v>1314</v>
      </c>
      <c r="D39" s="463"/>
      <c r="E39" s="1">
        <v>200</v>
      </c>
      <c r="F39" s="21" t="s">
        <v>508</v>
      </c>
      <c r="G39" s="1">
        <v>0.6</v>
      </c>
      <c r="H39" s="184" t="s">
        <v>538</v>
      </c>
      <c r="I39" s="1" t="s">
        <v>1312</v>
      </c>
      <c r="J39" s="19" t="s">
        <v>749</v>
      </c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1:28" ht="15.75" thickBot="1" x14ac:dyDescent="0.3">
      <c r="A40" s="366" t="s">
        <v>757</v>
      </c>
      <c r="B40" s="367"/>
      <c r="C40" s="463" t="str">
        <f>E40</f>
        <v>Ag+Cl-</v>
      </c>
      <c r="D40" s="463"/>
      <c r="E40" s="906" t="str" cm="1">
        <f t="array" ref="E40">_xlfn.IFNA(
IF((_xlfn.XLOOKUP(I38,M16:M32,_xlfn.XLOOKUP(J39, N15:X15,N16:X32))="NO"),CONCATENATE(I38,J39),
IF(_xlfn.XLOOKUP(I39,M16:M32,_xlfn.XLOOKUP(J38, N15:X15,N16:X32))="NO",CONCATENATE(I39,J38),
"Check Inputs")),
"Check Inputs")</f>
        <v>Ag+Cl-</v>
      </c>
      <c r="F40" s="906"/>
      <c r="G40" s="201"/>
      <c r="H40" s="201"/>
      <c r="I40" s="201"/>
      <c r="J40" s="202"/>
      <c r="L40" s="388" t="s">
        <v>753</v>
      </c>
      <c r="M40" s="389"/>
      <c r="N40" s="389"/>
      <c r="O40" s="389"/>
      <c r="P40" s="389"/>
      <c r="Q40" s="390"/>
    </row>
    <row r="41" spans="1:28" x14ac:dyDescent="0.25">
      <c r="A41" s="366" t="s">
        <v>758</v>
      </c>
      <c r="B41" s="367"/>
      <c r="C41" s="524" t="str" cm="1">
        <f t="array" ref="C41">_xlfn.IFNA(
IF((_xlfn.XLOOKUP(I38,M16:M32,_xlfn.XLOOKUP(J39, N15:X15,N16:X32))="NO"),I38,
IF((_xlfn.XLOOKUP(I39,M16:M32,_xlfn.XLOOKUP(J38, N15:X15,N16:X32))="NO"),J38,
"Check Inputs")),
"Check Inputs")</f>
        <v>Cl-</v>
      </c>
      <c r="D41" s="524"/>
      <c r="E41" s="3">
        <f>E38/G38</f>
        <v>0.66218628030078175</v>
      </c>
      <c r="F41" s="21" t="s">
        <v>495</v>
      </c>
      <c r="G41" s="549" t="s">
        <v>841</v>
      </c>
      <c r="H41" s="551"/>
      <c r="I41" s="6">
        <f>IF(E41&lt;E42,0,IF(AND(E42&lt;E41,F39="ml"),(E41-E42)/E39*1000,IF(AND(E42&lt;E41,F39="L"),(E41-E42)/E39,)))</f>
        <v>2.7109314015039088</v>
      </c>
      <c r="J41" s="208">
        <f>I41</f>
        <v>2.7109314015039088</v>
      </c>
      <c r="L41" s="160"/>
      <c r="M41" s="171"/>
      <c r="N41" s="171"/>
      <c r="O41" s="171"/>
      <c r="P41" s="171"/>
      <c r="Q41" s="172"/>
    </row>
    <row r="42" spans="1:28" x14ac:dyDescent="0.25">
      <c r="A42" s="552" t="s">
        <v>760</v>
      </c>
      <c r="B42" s="553"/>
      <c r="C42" s="907" t="str" cm="1">
        <f t="array" ref="C42">_xlfn.IFNA(
IF((_xlfn.XLOOKUP(I38,M16:M32,_xlfn.XLOOKUP(J39,N15:X15,N16:X32))="NO"),J39,
IF((_xlfn.XLOOKUP(I39,M16:M32,_xlfn.XLOOKUP(J38,N15:X15,N16:X32))="NO"),I39,
"Check Inputs")),
"CheckInputs")</f>
        <v>Ag+</v>
      </c>
      <c r="D42" s="908"/>
      <c r="E42" s="34">
        <f>IF(F39="ml",(E39*G39)/1000,IF(F39="L",LE40*G39))</f>
        <v>0.12</v>
      </c>
      <c r="F42" s="33" t="s">
        <v>495</v>
      </c>
      <c r="G42" s="549" t="s">
        <v>841</v>
      </c>
      <c r="H42" s="551"/>
      <c r="I42" s="6">
        <f>IF(E42&lt;E41,0,IF(AND(E41&lt;E42,F39="ml"),(E42-E41)/E39*1000,IF(AND(E41&lt;E42,F39="L"),(E42-E41)/E39,)))</f>
        <v>0</v>
      </c>
      <c r="J42" s="208">
        <f>I42</f>
        <v>0</v>
      </c>
      <c r="L42" s="160"/>
      <c r="M42" s="171"/>
      <c r="N42" s="171"/>
      <c r="O42" s="171"/>
      <c r="P42" s="171"/>
      <c r="Q42" s="172"/>
    </row>
    <row r="43" spans="1:28" x14ac:dyDescent="0.25">
      <c r="A43" s="749"/>
      <c r="B43" s="750"/>
      <c r="C43" s="750"/>
      <c r="D43" s="750"/>
      <c r="E43" s="750"/>
      <c r="F43" s="750"/>
      <c r="G43" s="429" t="s">
        <v>816</v>
      </c>
      <c r="H43" s="432"/>
      <c r="I43" s="903" t="str">
        <f>IF(E41&lt;E42,C41,IF(E42&lt;E41,C42))</f>
        <v>Ag+</v>
      </c>
      <c r="J43" s="904"/>
      <c r="L43" s="160"/>
      <c r="M43" s="171"/>
      <c r="N43" s="171"/>
      <c r="O43" s="171"/>
      <c r="P43" s="171"/>
      <c r="Q43" s="172"/>
    </row>
    <row r="44" spans="1:28" ht="15.75" thickBot="1" x14ac:dyDescent="0.3">
      <c r="A44" s="357" t="s">
        <v>836</v>
      </c>
      <c r="B44" s="358"/>
      <c r="C44" s="358"/>
      <c r="D44" s="2" t="s">
        <v>776</v>
      </c>
      <c r="E44" s="16" t="s">
        <v>838</v>
      </c>
      <c r="F44" s="2">
        <v>1</v>
      </c>
      <c r="G44" s="905" t="s">
        <v>837</v>
      </c>
      <c r="H44" s="646"/>
      <c r="I44" s="12">
        <f>IF(F39="ml",(F44*(E38/(G38))/(E39/1000)),IF(F39="L",(F44*(E38/(G38))/E39)))</f>
        <v>3.3109314015039084</v>
      </c>
      <c r="J44" s="207">
        <f>I44</f>
        <v>3.3109314015039084</v>
      </c>
      <c r="L44" s="160"/>
      <c r="M44" s="171"/>
      <c r="N44" s="171"/>
      <c r="O44" s="171"/>
      <c r="P44" s="171"/>
      <c r="Q44" s="172"/>
    </row>
    <row r="45" spans="1:28" ht="15.75" thickBot="1" x14ac:dyDescent="0.3">
      <c r="L45" s="161"/>
      <c r="M45" s="173"/>
      <c r="N45" s="173"/>
      <c r="O45" s="173"/>
      <c r="P45" s="173"/>
      <c r="Q45" s="174"/>
    </row>
    <row r="48" spans="1:28" x14ac:dyDescent="0.25">
      <c r="F48" s="67"/>
      <c r="G48" s="67"/>
      <c r="H48" s="175"/>
    </row>
    <row r="57" spans="19:27" x14ac:dyDescent="0.25">
      <c r="S57" s="66"/>
    </row>
    <row r="58" spans="19:27" x14ac:dyDescent="0.25">
      <c r="S58" s="66"/>
      <c r="X58" s="27"/>
      <c r="Y58" s="27"/>
      <c r="AA58" s="27"/>
    </row>
    <row r="59" spans="19:27" x14ac:dyDescent="0.25">
      <c r="S59" s="66"/>
      <c r="X59" s="27"/>
      <c r="Y59" s="27"/>
    </row>
    <row r="60" spans="19:27" x14ac:dyDescent="0.25">
      <c r="S60" s="66"/>
      <c r="X60" s="27"/>
    </row>
    <row r="61" spans="19:27" x14ac:dyDescent="0.25">
      <c r="S61" s="66"/>
      <c r="X61" s="27"/>
    </row>
    <row r="62" spans="19:27" x14ac:dyDescent="0.25">
      <c r="S62" s="66"/>
      <c r="X62" s="27"/>
    </row>
    <row r="63" spans="19:27" x14ac:dyDescent="0.25">
      <c r="X63" s="27"/>
    </row>
    <row r="64" spans="19:27" x14ac:dyDescent="0.25">
      <c r="X64" s="27"/>
    </row>
    <row r="65" spans="24:25" x14ac:dyDescent="0.25">
      <c r="X65" s="27"/>
    </row>
    <row r="66" spans="24:25" x14ac:dyDescent="0.25">
      <c r="X66" s="27"/>
    </row>
    <row r="67" spans="24:25" x14ac:dyDescent="0.25">
      <c r="X67" s="27"/>
    </row>
    <row r="68" spans="24:25" x14ac:dyDescent="0.25">
      <c r="X68" s="27"/>
    </row>
    <row r="69" spans="24:25" x14ac:dyDescent="0.25">
      <c r="X69" s="27"/>
    </row>
    <row r="70" spans="24:25" x14ac:dyDescent="0.25">
      <c r="X70" s="27"/>
    </row>
    <row r="72" spans="24:25" x14ac:dyDescent="0.25">
      <c r="X72" s="27"/>
    </row>
    <row r="73" spans="24:25" x14ac:dyDescent="0.25">
      <c r="X73" s="27"/>
    </row>
    <row r="74" spans="24:25" x14ac:dyDescent="0.25">
      <c r="X74" s="27"/>
    </row>
    <row r="75" spans="24:25" x14ac:dyDescent="0.25">
      <c r="X75" s="27"/>
    </row>
    <row r="76" spans="24:25" x14ac:dyDescent="0.25">
      <c r="X76" s="27"/>
    </row>
    <row r="77" spans="24:25" x14ac:dyDescent="0.25">
      <c r="X77" s="27"/>
    </row>
    <row r="78" spans="24:25" x14ac:dyDescent="0.25">
      <c r="X78" s="27"/>
      <c r="Y78" s="27"/>
    </row>
    <row r="84" spans="25:25" x14ac:dyDescent="0.25">
      <c r="Y84" s="27"/>
    </row>
    <row r="85" spans="25:25" x14ac:dyDescent="0.25">
      <c r="Y85" s="27"/>
    </row>
    <row r="86" spans="25:25" x14ac:dyDescent="0.25">
      <c r="Y86" s="27"/>
    </row>
    <row r="87" spans="25:25" x14ac:dyDescent="0.25">
      <c r="Y87" s="27"/>
    </row>
    <row r="88" spans="25:25" x14ac:dyDescent="0.25">
      <c r="Y88" s="27"/>
    </row>
    <row r="89" spans="25:25" x14ac:dyDescent="0.25">
      <c r="Y89" s="27"/>
    </row>
    <row r="90" spans="25:25" x14ac:dyDescent="0.25">
      <c r="Y90" s="27"/>
    </row>
    <row r="91" spans="25:25" x14ac:dyDescent="0.25">
      <c r="Y91" s="27"/>
    </row>
    <row r="92" spans="25:25" x14ac:dyDescent="0.25">
      <c r="Y92" s="27"/>
    </row>
  </sheetData>
  <mergeCells count="115">
    <mergeCell ref="L40:Q40"/>
    <mergeCell ref="L6:Q6"/>
    <mergeCell ref="L2:Q2"/>
    <mergeCell ref="L3:Q3"/>
    <mergeCell ref="L4:Q4"/>
    <mergeCell ref="L5:Q5"/>
    <mergeCell ref="L8:Q8"/>
    <mergeCell ref="L7:Q7"/>
    <mergeCell ref="A26:C26"/>
    <mergeCell ref="A30:D30"/>
    <mergeCell ref="A32:B32"/>
    <mergeCell ref="C31:D31"/>
    <mergeCell ref="A31:B31"/>
    <mergeCell ref="E31:F31"/>
    <mergeCell ref="E30:G30"/>
    <mergeCell ref="A29:G29"/>
    <mergeCell ref="E32:F32"/>
    <mergeCell ref="E33:E34"/>
    <mergeCell ref="F33:F34"/>
    <mergeCell ref="G33:G34"/>
    <mergeCell ref="A33:B33"/>
    <mergeCell ref="A34:B34"/>
    <mergeCell ref="S4:Z4"/>
    <mergeCell ref="A11:G11"/>
    <mergeCell ref="A9:G9"/>
    <mergeCell ref="A10:G10"/>
    <mergeCell ref="A22:G22"/>
    <mergeCell ref="A25:G25"/>
    <mergeCell ref="D26:E26"/>
    <mergeCell ref="F26:G26"/>
    <mergeCell ref="A27:C27"/>
    <mergeCell ref="AA12:AB12"/>
    <mergeCell ref="F20:G20"/>
    <mergeCell ref="A24:C24"/>
    <mergeCell ref="AA13:AB13"/>
    <mergeCell ref="AA14:AB14"/>
    <mergeCell ref="AA15:AB15"/>
    <mergeCell ref="AA16:AB16"/>
    <mergeCell ref="AA17:AB17"/>
    <mergeCell ref="AA18:AB18"/>
    <mergeCell ref="AA19:AB19"/>
    <mergeCell ref="D15:E15"/>
    <mergeCell ref="D16:E16"/>
    <mergeCell ref="D18:E18"/>
    <mergeCell ref="D17:E17"/>
    <mergeCell ref="AA32:AB32"/>
    <mergeCell ref="AA33:AB33"/>
    <mergeCell ref="AA34:AB34"/>
    <mergeCell ref="A18:C18"/>
    <mergeCell ref="A16:C16"/>
    <mergeCell ref="A17:C17"/>
    <mergeCell ref="A19:C19"/>
    <mergeCell ref="A20:C20"/>
    <mergeCell ref="A23:C23"/>
    <mergeCell ref="D20:E20"/>
    <mergeCell ref="AA26:AB26"/>
    <mergeCell ref="AA27:AB27"/>
    <mergeCell ref="AA28:AB28"/>
    <mergeCell ref="AA29:AB29"/>
    <mergeCell ref="AA30:AB30"/>
    <mergeCell ref="AA31:AB31"/>
    <mergeCell ref="AA20:AB20"/>
    <mergeCell ref="AA21:AB21"/>
    <mergeCell ref="AA22:AB22"/>
    <mergeCell ref="AA23:AB23"/>
    <mergeCell ref="AA24:AB24"/>
    <mergeCell ref="AA25:AB25"/>
    <mergeCell ref="A42:B42"/>
    <mergeCell ref="N13:X13"/>
    <mergeCell ref="L16:L32"/>
    <mergeCell ref="L13:M15"/>
    <mergeCell ref="A39:B39"/>
    <mergeCell ref="C39:D39"/>
    <mergeCell ref="A40:B40"/>
    <mergeCell ref="C40:D40"/>
    <mergeCell ref="A1:E1"/>
    <mergeCell ref="A2:E2"/>
    <mergeCell ref="A3:E3"/>
    <mergeCell ref="A38:B38"/>
    <mergeCell ref="C38:D38"/>
    <mergeCell ref="A21:C21"/>
    <mergeCell ref="D19:G19"/>
    <mergeCell ref="D23:E23"/>
    <mergeCell ref="F23:G23"/>
    <mergeCell ref="D21:G21"/>
    <mergeCell ref="A12:G12"/>
    <mergeCell ref="A13:C14"/>
    <mergeCell ref="A15:C15"/>
    <mergeCell ref="A8:G8"/>
    <mergeCell ref="D13:E13"/>
    <mergeCell ref="D14:E14"/>
    <mergeCell ref="G43:H43"/>
    <mergeCell ref="I43:J43"/>
    <mergeCell ref="G41:H41"/>
    <mergeCell ref="G42:H42"/>
    <mergeCell ref="A44:C44"/>
    <mergeCell ref="G44:H44"/>
    <mergeCell ref="L9:Q9"/>
    <mergeCell ref="L10:Q10"/>
    <mergeCell ref="A43:F43"/>
    <mergeCell ref="A37:D37"/>
    <mergeCell ref="A36:J36"/>
    <mergeCell ref="E40:F40"/>
    <mergeCell ref="C41:D41"/>
    <mergeCell ref="C42:D42"/>
    <mergeCell ref="N34:Q34"/>
    <mergeCell ref="N35:Q35"/>
    <mergeCell ref="N36:Q36"/>
    <mergeCell ref="N37:Q37"/>
    <mergeCell ref="N38:Q38"/>
    <mergeCell ref="L12:X12"/>
    <mergeCell ref="L33:X33"/>
    <mergeCell ref="R34:X38"/>
    <mergeCell ref="A41:B41"/>
    <mergeCell ref="E37:H37"/>
  </mergeCells>
  <pageMargins left="0.7" right="0.7" top="0.75" bottom="0.75" header="0.3" footer="0.3"/>
  <pageSetup orientation="portrait" horizontalDpi="300" verticalDpi="300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E Q A 8 U u 1 e f i q i A A A A 9 Q A A A B I A H A B D b 2 5 m a W c v U G F j a 2 F n Z S 5 4 b W w g o h g A K K A U A A A A A A A A A A A A A A A A A A A A A A A A A A A A h Y + x D o I w F E V / h X S n L X U h 5 F E G V 0 l M i M a 1 K R U a 4 W G g W P 7 N w U / y F 8 Q o 6 u Z 4 7 z n D v f f r D b K p b Y K L 6 Q f b Y U o i y k l g U H e l x S o l o z u G M c k k b J U + q c o E s 4 x D M g 1 l S m r n z g l j 3 n v q V 7 T r K y Y 4 j 9 g h 3 x S 6 N q 0 i H 9 n + l 0 O L g 1 O o D Z G w f 4 2 R g s Y x F X y e B G z p I L f 4 5 W J m T / p T w n p s 3 N g b a T D c F c C W C O x 9 Q T 4 A U E s D B B Q A A g A I A B E A P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R A D x S K I p H u A 4 A A A A R A A A A E w A c A E Z v c m 1 1 b G F z L 1 N l Y 3 R p b 2 4 x L m 0 g o h g A K K A U A A A A A A A A A A A A A A A A A A A A A A A A A A A A K 0 5 N L s n M z 1 M I h t C G 1 g B Q S w E C L Q A U A A I A C A A R A D x S 7 V 5 + K q I A A A D 1 A A A A E g A A A A A A A A A A A A A A A A A A A A A A Q 2 9 u Z m l n L 1 B h Y 2 t h Z 2 U u e G 1 s U E s B A i 0 A F A A C A A g A E Q A 8 U g / K 6 a u k A A A A 6 Q A A A B M A A A A A A A A A A A A A A A A A 7 g A A A F t D b 2 5 0 Z W 5 0 X 1 R 5 c G V z X S 5 4 b W x Q S w E C L Q A U A A I A C A A R A D x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M y 7 A p x r e Y 0 K n v 3 j a Q h F p q Q A A A A A C A A A A A A A Q Z g A A A A E A A C A A A A B P W f U e w Q 7 n M N i j i T W E e b i E p e a A T X 2 H X p p Q h G R Q N l X g J g A A A A A O g A A A A A I A A C A A A A B v e O 6 T 6 2 n 4 7 R l h Q + P 2 5 u 3 Z Z 6 X t k S z 1 H K Z k 3 f z S J P 3 Q O F A A A A D G x 3 m d M F K U m m f I U j a 2 1 3 q l w j V 3 I E z M W l K K 5 a y b A d D 7 O m M / S v O o s 6 W C p X j L o O t R h m 6 N Z l 6 J S o U o L A w + J p 1 e O o v 3 D k N d 1 2 Z m 1 H q O / 0 9 I O + + r u E A A A A B 9 9 O k N s G P n F I k H 1 x + C h n G s w L 2 6 p f x 4 1 T 1 v p B i 8 j S 2 g E + 2 b P C D e M + Z a f B u a 8 h P Y j P t i 2 s v L F 4 / Q V j o h r b H 2 B / S b < / D a t a M a s h u p > 
</file>

<file path=customXml/itemProps1.xml><?xml version="1.0" encoding="utf-8"?>
<ds:datastoreItem xmlns:ds="http://schemas.openxmlformats.org/officeDocument/2006/customXml" ds:itemID="{064943D8-A7E4-41A0-9C11-B4D9E54F9D5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122</vt:i4>
      </vt:variant>
    </vt:vector>
  </HeadingPairs>
  <TitlesOfParts>
    <vt:vector size="135" baseType="lpstr">
      <vt:lpstr>Reference Tables</vt:lpstr>
      <vt:lpstr>Limiting Reactant Calculator</vt:lpstr>
      <vt:lpstr>Packing Efficiency and Density</vt:lpstr>
      <vt:lpstr>Heat Capcity</vt:lpstr>
      <vt:lpstr>Enthalpy and Entropy</vt:lpstr>
      <vt:lpstr>Free Energy</vt:lpstr>
      <vt:lpstr>Chemical Kinetics</vt:lpstr>
      <vt:lpstr>Chemical Equilibrium</vt:lpstr>
      <vt:lpstr>Solubility</vt:lpstr>
      <vt:lpstr>pH</vt:lpstr>
      <vt:lpstr>Redox</vt:lpstr>
      <vt:lpstr>Electrolysis</vt:lpstr>
      <vt:lpstr>Nuclear Chemistry</vt:lpstr>
      <vt:lpstr>_C3H8</vt:lpstr>
      <vt:lpstr>_C4H10</vt:lpstr>
      <vt:lpstr>Ac</vt:lpstr>
      <vt:lpstr>Ag</vt:lpstr>
      <vt:lpstr>Al</vt:lpstr>
      <vt:lpstr>Ar</vt:lpstr>
      <vt:lpstr>As</vt:lpstr>
      <vt:lpstr>At</vt:lpstr>
      <vt:lpstr>atomic_mass_unit</vt:lpstr>
      <vt:lpstr>Au</vt:lpstr>
      <vt:lpstr>Avogadro_s_Number</vt:lpstr>
      <vt:lpstr>B</vt:lpstr>
      <vt:lpstr>Ba</vt:lpstr>
      <vt:lpstr>Be</vt:lpstr>
      <vt:lpstr>Bi</vt:lpstr>
      <vt:lpstr>Boltzman_Constant</vt:lpstr>
      <vt:lpstr>Br</vt:lpstr>
      <vt:lpstr>Butane</vt:lpstr>
      <vt:lpstr>C_</vt:lpstr>
      <vt:lpstr>Ca</vt:lpstr>
      <vt:lpstr>Carbon_Dioxide</vt:lpstr>
      <vt:lpstr>Cd</vt:lpstr>
      <vt:lpstr>Ce</vt:lpstr>
      <vt:lpstr>Cl</vt:lpstr>
      <vt:lpstr>Co</vt:lpstr>
      <vt:lpstr>CO2_</vt:lpstr>
      <vt:lpstr>Coulomb_constant</vt:lpstr>
      <vt:lpstr>Cr</vt:lpstr>
      <vt:lpstr>Cs</vt:lpstr>
      <vt:lpstr>Cu</vt:lpstr>
      <vt:lpstr>Dy</vt:lpstr>
      <vt:lpstr>elementary_charge</vt:lpstr>
      <vt:lpstr>Er</vt:lpstr>
      <vt:lpstr>Eu</vt:lpstr>
      <vt:lpstr>F</vt:lpstr>
      <vt:lpstr>Fahrenheit</vt:lpstr>
      <vt:lpstr>Faraday_constant</vt:lpstr>
      <vt:lpstr>Fe</vt:lpstr>
      <vt:lpstr>Fr</vt:lpstr>
      <vt:lpstr>Ga</vt:lpstr>
      <vt:lpstr>Gd</vt:lpstr>
      <vt:lpstr>Ge</vt:lpstr>
      <vt:lpstr>gravity</vt:lpstr>
      <vt:lpstr>H</vt:lpstr>
      <vt:lpstr>H2O</vt:lpstr>
      <vt:lpstr>He</vt:lpstr>
      <vt:lpstr>Hf</vt:lpstr>
      <vt:lpstr>Hg</vt:lpstr>
      <vt:lpstr>Ho</vt:lpstr>
      <vt:lpstr>I</vt:lpstr>
      <vt:lpstr>In</vt:lpstr>
      <vt:lpstr>ion_product_of_water</vt:lpstr>
      <vt:lpstr>Ir</vt:lpstr>
      <vt:lpstr>K</vt:lpstr>
      <vt:lpstr>Kelvin</vt:lpstr>
      <vt:lpstr>Kr</vt:lpstr>
      <vt:lpstr>La</vt:lpstr>
      <vt:lpstr>Li</vt:lpstr>
      <vt:lpstr>Lu</vt:lpstr>
      <vt:lpstr>mass_of_electron</vt:lpstr>
      <vt:lpstr>Mg</vt:lpstr>
      <vt:lpstr>Mn</vt:lpstr>
      <vt:lpstr>Mo</vt:lpstr>
      <vt:lpstr>N</vt:lpstr>
      <vt:lpstr>Na</vt:lpstr>
      <vt:lpstr>Nb</vt:lpstr>
      <vt:lpstr>Nd</vt:lpstr>
      <vt:lpstr>Ne</vt:lpstr>
      <vt:lpstr>Ni</vt:lpstr>
      <vt:lpstr>Np</vt:lpstr>
      <vt:lpstr>O</vt:lpstr>
      <vt:lpstr>O2_</vt:lpstr>
      <vt:lpstr>Os</vt:lpstr>
      <vt:lpstr>Oxygen</vt:lpstr>
      <vt:lpstr>P</vt:lpstr>
      <vt:lpstr>Pa</vt:lpstr>
      <vt:lpstr>Pb</vt:lpstr>
      <vt:lpstr>Pd</vt:lpstr>
      <vt:lpstr>permittivity_of_free_space</vt:lpstr>
      <vt:lpstr>Planck_constant</vt:lpstr>
      <vt:lpstr>Pm</vt:lpstr>
      <vt:lpstr>Po</vt:lpstr>
      <vt:lpstr>Pr</vt:lpstr>
      <vt:lpstr>Propane</vt:lpstr>
      <vt:lpstr>Pt</vt:lpstr>
      <vt:lpstr>Pu</vt:lpstr>
      <vt:lpstr>Ra</vt:lpstr>
      <vt:lpstr>Rb</vt:lpstr>
      <vt:lpstr>Re</vt:lpstr>
      <vt:lpstr>Rh</vt:lpstr>
      <vt:lpstr>Rn</vt:lpstr>
      <vt:lpstr>Ru</vt:lpstr>
      <vt:lpstr>Rydberg_energy</vt:lpstr>
      <vt:lpstr>S</vt:lpstr>
      <vt:lpstr>Sb</vt:lpstr>
      <vt:lpstr>Sc</vt:lpstr>
      <vt:lpstr>Se</vt:lpstr>
      <vt:lpstr>Si</vt:lpstr>
      <vt:lpstr>Sm</vt:lpstr>
      <vt:lpstr>Sn</vt:lpstr>
      <vt:lpstr>Speed_of_Light_in_a_Vacuum</vt:lpstr>
      <vt:lpstr>Sr</vt:lpstr>
      <vt:lpstr>standard_acceleration_due_to_Earths_gravity</vt:lpstr>
      <vt:lpstr>Ta</vt:lpstr>
      <vt:lpstr>Tb</vt:lpstr>
      <vt:lpstr>Tc</vt:lpstr>
      <vt:lpstr>Te</vt:lpstr>
      <vt:lpstr>Th</vt:lpstr>
      <vt:lpstr>Ti</vt:lpstr>
      <vt:lpstr>Tl</vt:lpstr>
      <vt:lpstr>Tm</vt:lpstr>
      <vt:lpstr>U</vt:lpstr>
      <vt:lpstr>Universal_Gas_R_for_atm_and_L</vt:lpstr>
      <vt:lpstr>Universal_Gas_R_for_Pa_and_m3</vt:lpstr>
      <vt:lpstr>V</vt:lpstr>
      <vt:lpstr>W</vt:lpstr>
      <vt:lpstr>Water</vt:lpstr>
      <vt:lpstr>Xe</vt:lpstr>
      <vt:lpstr>Y</vt:lpstr>
      <vt:lpstr>Yb</vt:lpstr>
      <vt:lpstr>Zn</vt:lpstr>
      <vt:lpstr>Zr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Seth Weiss</dc:creator>
  <cp:lastModifiedBy>Seth Weiss</cp:lastModifiedBy>
  <dcterms:created xsi:type="dcterms:W3CDTF">2021-01-08T23:58:07Z</dcterms:created>
  <dcterms:modified xsi:type="dcterms:W3CDTF">2022-01-28T05:01:05Z</dcterms:modified>
</cp:coreProperties>
</file>